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NTA CRUZ DE TENERIFE\"/>
    </mc:Choice>
  </mc:AlternateContent>
  <workbookProtection workbookAlgorithmName="SHA-512" workbookHashValue="v4ehmqNG8S9RfQKu1z3jwsW3moXhCYwtXb4bJfGuevJ8+80FyZh4TwnHXoBBCMkUCbWfxRiBwWbRn1ReWCZH7Q==" workbookSaltValue="8b1JA/VnBdo5whPkjDst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AB19" i="21" s="1"/>
  <c r="C12" i="14"/>
  <c r="K12" i="14" s="1"/>
  <c r="BH16" i="11"/>
  <c r="BH10" i="11"/>
  <c r="BW11" i="20"/>
  <c r="AP17" i="20"/>
  <c r="BI15" i="11"/>
  <c r="BL17" i="11"/>
  <c r="T9" i="11"/>
  <c r="L16" i="2"/>
  <c r="BH10" i="16"/>
  <c r="AZ12" i="11"/>
  <c r="BU16" i="17"/>
  <c r="BU10" i="17"/>
  <c r="BG15" i="11"/>
  <c r="V11" i="11"/>
  <c r="BH17" i="16"/>
  <c r="AL16" i="11"/>
  <c r="C16" i="6"/>
  <c r="BE9" i="13"/>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Q9" i="11" s="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<sst xmlns="http://schemas.openxmlformats.org/spreadsheetml/2006/main" count="2102" uniqueCount="918">
  <si>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</si>
  <si>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</si>
  <si>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</si>
  <si>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</si>
  <si>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</si>
  <si>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</si>
  <si>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</si>
  <si>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</si>
  <si>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</si>
  <si>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</si>
  <si>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</si>
  <si>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</si>
  <si>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</si>
  <si>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</si>
  <si>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</si>
  <si>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</si>
  <si>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</si>
  <si>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</si>
  <si>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</si>
  <si>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</si>
  <si>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</si>
  <si>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</si>
  <si>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</si>
  <si>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</si>
  <si>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</si>
  <si>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</si>
  <si>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</si>
  <si>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</si>
  <si>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</si>
  <si>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</si>
  <si>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</si>
  <si>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</si>
  <si>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</si>
  <si>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</si>
  <si>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</si>
  <si>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</si>
  <si>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</si>
  <si>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</si>
  <si>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</si>
  <si>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</si>
  <si>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</si>
  <si>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</si>
  <si>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</si>
  <si>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</si>
  <si>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</si>
  <si>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</si>
  <si>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</si>
  <si>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</si>
  <si>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</si>
  <si>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</si>
  <si>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</si>
  <si>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</si>
  <si>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</si>
  <si>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</si>
  <si>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</si>
  <si>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</si>
  <si>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</si>
  <si>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</si>
  <si>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</si>
  <si>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</si>
  <si>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</si>
  <si>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</si>
  <si>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</si>
  <si>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</si>
  <si>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</si>
  <si>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</si>
  <si>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</si>
  <si>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</si>
  <si>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</si>
  <si>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</si>
  <si>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</si>
  <si>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</si>
  <si>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</si>
  <si>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</si>
  <si>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</si>
  <si>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</si>
  <si>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</si>
  <si>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</si>
  <si>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</si>
  <si>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</si>
  <si>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</si>
  <si>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</si>
  <si>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</si>
  <si>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</si>
  <si>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</si>
  <si>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</si>
  <si>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</si>
  <si>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</si>
  <si>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</si>
  <si>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</si>
  <si>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</si>
  <si>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</si>
  <si>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</si>
  <si>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</si>
  <si>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</si>
  <si>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</si>
  <si>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</si>
  <si>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</si>
  <si>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</si>
  <si>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</si>
  <si>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</si>
  <si>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</si>
  <si>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</si>
  <si>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</si>
  <si>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</si>
  <si>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</si>
  <si>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</si>
  <si>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</si>
  <si>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</si>
  <si>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</si>
  <si>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</si>
  <si>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</si>
  <si>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</si>
  <si>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</si>
  <si>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</si>
  <si>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</si>
  <si>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</si>
  <si>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</si>
  <si>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</si>
  <si>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</si>
  <si>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</si>
  <si>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</si>
  <si>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</si>
  <si>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</si>
  <si>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</si>
  <si>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</si>
  <si>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</si>
  <si>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</si>
  <si>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</si>
  <si>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</si>
  <si>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</si>
  <si>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</si>
  <si>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</si>
  <si>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</si>
  <si>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</si>
  <si>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</si>
  <si>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</si>
  <si>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</si>
  <si>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</si>
  <si>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</si>
  <si>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</si>
  <si>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</si>
  <si>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</si>
  <si>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</si>
  <si>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</si>
  <si>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</si>
  <si>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</si>
  <si>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</si>
  <si>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</si>
  <si>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</si>
  <si>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</si>
  <si>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</si>
  <si>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</si>
  <si>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</si>
  <si>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</si>
  <si>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</si>
  <si>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</si>
  <si>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</si>
  <si>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</si>
  <si>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</si>
  <si>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</si>
  <si>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</si>
  <si>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</si>
  <si>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</si>
  <si>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</si>
  <si>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</si>
  <si>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</si>
  <si>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</si>
  <si>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</si>
  <si>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</si>
  <si>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</si>
  <si>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</si>
  <si>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</si>
  <si>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</si>
  <si>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</si>
  <si>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</si>
  <si>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</si>
  <si>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</si>
  <si>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</si>
  <si>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</si>
  <si>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</si>
  <si>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</si>
  <si>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</si>
  <si>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</si>
  <si>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</si>
  <si>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</si>
  <si>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</si>
  <si>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</si>
  <si>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</si>
  <si>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</si>
  <si>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</si>
  <si>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</si>
  <si>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</si>
  <si>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</si>
  <si>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</si>
  <si>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</si>
  <si>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</si>
  <si>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</si>
  <si>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</si>
  <si>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</si>
  <si>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</si>
  <si>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</si>
  <si>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</si>
  <si>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</si>
  <si>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</si>
  <si>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</si>
  <si>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</si>
  <si>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</si>
  <si>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</si>
  <si>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</si>
  <si>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</si>
  <si>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</si>
  <si>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</si>
  <si>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</si>
  <si>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</si>
  <si>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</si>
  <si>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</si>
  <si>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</si>
  <si>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</si>
  <si>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</si>
  <si>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</si>
  <si>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</si>
  <si>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</si>
  <si>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</si>
  <si>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</si>
  <si>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</si>
  <si>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</si>
  <si>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</si>
  <si>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</si>
  <si>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</si>
  <si>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</si>
  <si>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</si>
  <si>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</si>
  <si>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</si>
  <si>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</si>
  <si>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</si>
  <si>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</si>
  <si>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</si>
  <si>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</si>
  <si>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</si>
  <si>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</si>
  <si>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</si>
  <si>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</si>
  <si>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</si>
  <si>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</si>
  <si>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</si>
  <si>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</si>
  <si>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</si>
  <si>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</si>
  <si>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</si>
  <si>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</si>
  <si>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</si>
  <si>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</si>
  <si>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</si>
  <si>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</si>
  <si>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</si>
  <si>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</si>
  <si>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</si>
  <si>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</si>
  <si>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</si>
  <si>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</si>
  <si>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</si>
  <si>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</si>
  <si>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</si>
  <si>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</si>
  <si>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</si>
  <si>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</si>
  <si>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</si>
  <si>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</si>
  <si>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</si>
  <si>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</si>
  <si>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</si>
  <si>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</si>
  <si>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</si>
  <si>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</si>
  <si>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</si>
  <si>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</si>
  <si>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</si>
  <si>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</si>
  <si>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</si>
  <si>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</si>
  <si>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</si>
  <si>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</si>
  <si>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</si>
  <si>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</si>
  <si>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</si>
  <si>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</si>
  <si>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</si>
  <si>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</si>
  <si>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</si>
  <si>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</si>
  <si>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</si>
  <si>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</si>
  <si>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</si>
  <si>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</si>
  <si>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</si>
  <si>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</si>
  <si>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</si>
  <si>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</si>
  <si>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</si>
  <si>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</si>
  <si>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</si>
  <si>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</si>
  <si>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</si>
  <si>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</si>
  <si>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</si>
  <si>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</si>
  <si>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</si>
  <si>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</si>
  <si>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</si>
  <si>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</si>
  <si>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</si>
  <si>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</si>
  <si>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</si>
  <si>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</si>
  <si>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</si>
  <si>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</si>
  <si>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</si>
  <si>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</si>
  <si>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</si>
  <si>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</si>
  <si>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</si>
  <si>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</si>
  <si>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</si>
  <si>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</si>
  <si>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</si>
  <si>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</si>
  <si>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</si>
  <si>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</si>
  <si>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</si>
  <si>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</si>
  <si>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</si>
  <si>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</si>
  <si>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</si>
  <si>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</si>
  <si>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</si>
  <si>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</si>
  <si>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</si>
  <si>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</si>
  <si>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</si>
  <si>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</si>
  <si>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</si>
  <si>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</si>
  <si>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</si>
  <si>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</si>
  <si>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</si>
  <si>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</si>
  <si>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</si>
  <si>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</si>
  <si>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</si>
  <si>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</si>
  <si>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</si>
  <si>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</si>
  <si>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</si>
  <si>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</si>
  <si>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</si>
  <si>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</si>
  <si>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</si>
  <si>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</si>
  <si>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</si>
  <si>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</si>
  <si>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</si>
  <si>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</si>
  <si>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</si>
  <si>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</si>
  <si>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</si>
  <si>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</si>
  <si>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</si>
  <si>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</si>
  <si>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</si>
  <si>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</si>
  <si>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</si>
  <si>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</si>
  <si>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</si>
  <si>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</si>
  <si>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</si>
  <si>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</si>
  <si>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</si>
  <si>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</si>
  <si>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</si>
  <si>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</si>
  <si>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</si>
  <si>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</si>
  <si>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</si>
  <si>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</si>
  <si>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</si>
  <si>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</si>
  <si>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</si>
  <si>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</si>
  <si>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</si>
  <si>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</si>
  <si>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</si>
  <si>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</si>
  <si>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</si>
  <si>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</si>
  <si>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</si>
  <si>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</si>
  <si>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</si>
  <si>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</si>
  <si>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</si>
  <si>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</si>
  <si>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</si>
  <si>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</si>
  <si>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</si>
  <si>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</si>
  <si>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</si>
  <si>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</si>
  <si>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</si>
  <si>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</si>
  <si>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</si>
  <si>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</si>
  <si>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</si>
  <si>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</si>
  <si>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</si>
  <si>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</si>
  <si>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</si>
  <si>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</si>
  <si>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</si>
  <si>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</si>
  <si>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</si>
  <si>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</si>
  <si>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</si>
  <si>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</si>
  <si>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</si>
  <si>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</si>
  <si>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</si>
  <si>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</si>
  <si>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</si>
  <si>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</si>
  <si>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</si>
  <si>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</si>
  <si>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</si>
  <si>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</si>
  <si>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</si>
  <si>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</si>
  <si>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</si>
  <si>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</si>
  <si>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</si>
  <si>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</si>
  <si>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</si>
  <si>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</si>
  <si>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</si>
  <si>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</si>
  <si>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</si>
  <si>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</si>
  <si>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</si>
  <si>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</si>
  <si>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</si>
  <si>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</si>
  <si>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</si>
  <si>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</si>
  <si>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</si>
  <si>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</si>
  <si>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</si>
  <si>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</si>
  <si>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</si>
  <si>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</si>
  <si>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</si>
  <si>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</si>
  <si>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</si>
  <si>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</si>
  <si>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</si>
  <si>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</si>
  <si>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</si>
  <si>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</si>
  <si>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</si>
  <si>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</si>
  <si>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</si>
  <si>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</si>
  <si>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</si>
  <si>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</si>
  <si>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</si>
  <si>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</si>
  <si>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</si>
  <si>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</si>
  <si>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</si>
  <si>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</si>
  <si>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</si>
  <si>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</si>
  <si>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</si>
  <si>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</si>
  <si>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</si>
  <si>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</si>
  <si>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</si>
  <si>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</si>
  <si>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</si>
  <si>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</si>
  <si>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</si>
  <si>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</si>
  <si>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</si>
  <si>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</si>
  <si>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</si>
  <si>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</si>
  <si>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</si>
  <si>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</si>
  <si>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</si>
  <si>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</si>
  <si>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</si>
  <si>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</si>
  <si>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</si>
  <si>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</si>
  <si>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</si>
  <si>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</si>
  <si>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</si>
  <si>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</si>
  <si>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</si>
  <si>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</si>
  <si>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</si>
  <si>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</si>
  <si>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</si>
  <si>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</si>
  <si>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</si>
  <si>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</si>
  <si>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</si>
  <si>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</si>
  <si>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</si>
  <si>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</si>
  <si>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</si>
  <si>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</si>
  <si>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</si>
  <si>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</si>
  <si>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</si>
  <si>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</si>
  <si>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</si>
  <si>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</si>
  <si>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</si>
  <si>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</si>
  <si>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</si>
  <si>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</si>
  <si>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</si>
  <si>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</si>
  <si>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</si>
  <si>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</si>
  <si>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</si>
  <si>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</si>
  <si>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</si>
  <si>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</si>
  <si>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</si>
  <si>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</si>
  <si>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</si>
  <si>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</si>
  <si>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</si>
  <si>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</si>
  <si>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</si>
  <si>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</si>
  <si>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</si>
  <si>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</si>
  <si>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</si>
  <si>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</si>
  <si>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</si>
  <si>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</si>
  <si>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</si>
  <si>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</si>
  <si>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</si>
  <si>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</si>
  <si>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</si>
  <si>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</si>
  <si>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</si>
  <si>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</si>
  <si>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</si>
  <si>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</si>
  <si>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</si>
  <si>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</si>
  <si>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</si>
  <si>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</si>
  <si>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</si>
  <si>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</si>
  <si>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</si>
  <si>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</si>
  <si>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</si>
  <si>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</si>
  <si>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</si>
  <si>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</si>
  <si>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</si>
  <si>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</si>
  <si>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</si>
  <si>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</si>
  <si>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</si>
  <si>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</si>
  <si>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</si>
  <si>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</si>
  <si>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</si>
  <si>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</si>
  <si>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</si>
  <si>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</si>
  <si>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</si>
  <si>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</si>
  <si>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</si>
  <si>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</si>
  <si>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</si>
  <si>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</si>
  <si>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</si>
  <si>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</si>
  <si>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</si>
  <si>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</si>
  <si>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</si>
  <si>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</si>
  <si>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</si>
  <si>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</si>
  <si>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</si>
  <si>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</si>
  <si>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</si>
  <si>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</si>
  <si>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</si>
  <si>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</si>
  <si>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</si>
  <si>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</si>
  <si>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</si>
  <si>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</si>
  <si>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</si>
  <si>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</si>
  <si>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</si>
  <si>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</si>
  <si>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</si>
  <si>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</si>
  <si>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</si>
  <si>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</si>
  <si>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</si>
  <si>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</si>
  <si>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</si>
  <si>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</si>
  <si>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</si>
  <si>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</si>
  <si>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</si>
  <si>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</si>
  <si>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</si>
  <si>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</si>
  <si>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</si>
  <si>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</si>
  <si>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</si>
  <si>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</si>
  <si>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</si>
  <si>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</si>
  <si>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</si>
  <si>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</si>
  <si>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</si>
  <si>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</si>
  <si>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</si>
  <si>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</si>
  <si>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</si>
  <si>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</si>
  <si>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</si>
  <si>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</si>
  <si>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</si>
  <si>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</si>
  <si>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</si>
  <si>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</si>
  <si>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</si>
  <si>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</si>
  <si>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</si>
  <si>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</si>
  <si>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</si>
  <si>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</si>
  <si>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</si>
  <si>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</si>
  <si>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</si>
  <si>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</si>
  <si>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</si>
  <si>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</si>
  <si>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</si>
  <si>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</si>
  <si>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</si>
  <si>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</si>
  <si>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</si>
  <si>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</si>
  <si>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</si>
  <si>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</si>
  <si>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</si>
  <si>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</si>
  <si>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</si>
  <si>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</si>
  <si>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</si>
  <si>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</si>
  <si>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</si>
  <si>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</si>
  <si>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</si>
  <si>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</si>
  <si>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</si>
  <si>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</si>
  <si>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</si>
  <si>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</si>
  <si>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</si>
  <si>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</si>
  <si>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</si>
  <si>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</si>
  <si>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</si>
  <si>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</si>
  <si>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</si>
  <si>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</si>
  <si>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</si>
  <si>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</si>
  <si>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</si>
  <si>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</si>
  <si>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</si>
  <si>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</si>
  <si>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</si>
  <si>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</si>
  <si>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</si>
  <si>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</si>
  <si>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</si>
  <si>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</si>
  <si>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</si>
  <si>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</si>
  <si>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</si>
  <si>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</si>
  <si>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</si>
  <si>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</si>
  <si>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</si>
  <si>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</si>
  <si>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</si>
  <si>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</si>
  <si>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</si>
  <si>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</si>
  <si>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</si>
  <si>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</si>
  <si>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</si>
  <si>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</si>
  <si>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</si>
  <si>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</si>
  <si>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</si>
  <si>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</si>
  <si>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</si>
  <si>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</si>
  <si>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</si>
  <si>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</si>
  <si>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</si>
  <si>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</si>
  <si>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</si>
  <si>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</si>
  <si>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</si>
  <si>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</si>
  <si>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</si>
  <si>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</si>
  <si>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</si>
  <si>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</si>
  <si>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</si>
  <si>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</si>
  <si>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</si>
  <si>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</si>
  <si>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</si>
  <si>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</si>
  <si>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</si>
  <si>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</si>
  <si>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</si>
  <si>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</si>
  <si>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</si>
  <si>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</si>
  <si>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</si>
  <si>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</si>
  <si>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</si>
  <si>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</si>
  <si>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</si>
  <si>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</si>
  <si>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</si>
  <si>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</si>
  <si>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</si>
  <si>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</si>
  <si>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</si>
  <si>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</si>
  <si>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</si>
  <si>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</si>
  <si>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</si>
  <si>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</si>
  <si>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</si>
  <si>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</si>
  <si>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</si>
  <si>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</si>
  <si>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</si>
  <si>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</si>
  <si>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</si>
  <si>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</si>
  <si>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</si>
  <si>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</si>
  <si>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</si>
  <si>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</si>
  <si>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</si>
  <si>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</si>
  <si>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</si>
  <si>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</si>
  <si>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</si>
  <si>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</si>
  <si>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</si>
  <si>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</si>
  <si>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</si>
  <si>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</si>
  <si>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</si>
  <si>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</si>
  <si>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</si>
  <si>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</si>
  <si>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</si>
  <si>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</si>
  <si>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</si>
  <si>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</si>
  <si>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</si>
  <si>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</si>
  <si>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</si>
  <si>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</si>
  <si>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</si>
  <si>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</si>
  <si>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</si>
  <si>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</si>
  <si>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</si>
  <si>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</si>
  <si>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</si>
  <si>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</si>
  <si>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</si>
  <si>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</si>
  <si>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</si>
  <si>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</si>
  <si>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</si>
  <si>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</si>
  <si>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</si>
  <si>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</si>
  <si>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</si>
  <si>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</si>
  <si>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</si>
  <si>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</si>
  <si>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</si>
  <si>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</si>
  <si>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</si>
  <si>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</si>
  <si>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</si>
  <si>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</si>
  <si>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</si>
  <si>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</si>
  <si>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</si>
  <si>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</si>
  <si>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</si>
  <si>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</si>
  <si>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</si>
  <si>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</si>
  <si>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</si>
  <si>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</si>
  <si>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</si>
  <si>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</si>
  <si>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</si>
  <si>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</si>
  <si>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</si>
  <si>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</si>
  <si>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</si>
  <si>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</si>
  <si>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</si>
  <si>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</si>
  <si>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</si>
  <si>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</si>
  <si>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</si>
  <si>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</si>
  <si>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</si>
  <si>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</si>
  <si>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</si>
  <si>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</si>
  <si>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</si>
  <si>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</si>
  <si>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</si>
  <si>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</si>
  <si>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</si>
  <si>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</si>
  <si>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</si>
  <si>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</si>
  <si>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</si>
  <si>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</si>
  <si>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</si>
  <si>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</si>
  <si>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</si>
  <si>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</si>
  <si>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</si>
  <si>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</si>
  <si>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</si>
  <si>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</si>
  <si>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</si>
  <si>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</si>
  <si>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</si>
  <si>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</si>
  <si>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</si>
  <si>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</si>
  <si>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</si>
  <si>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</si>
  <si>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</si>
  <si>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</si>
  <si>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</si>
  <si>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</si>
  <si>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</si>
  <si>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</si>
  <si>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</si>
  <si>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</si>
  <si>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</si>
  <si>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</si>
  <si>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</si>
  <si>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</si>
  <si>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</si>
  <si>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</si>
  <si>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</si>
  <si>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</si>
  <si>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</si>
  <si>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</si>
  <si>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</si>
  <si>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</si>
  <si>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</si>
  <si>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</si>
  <si>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</si>
  <si>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</si>
  <si>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</si>
  <si>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</si>
  <si>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</si>
  <si>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</si>
  <si>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</si>
  <si>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</si>
  <si>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</si>
  <si>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</si>
  <si>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</si>
  <si>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</si>
  <si>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</si>
  <si>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</si>
  <si>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CANARIAS</t>
  </si>
  <si>
    <t>Provincias</t>
  </si>
  <si>
    <t>SANTA CRUZ DE TENERIFE</t>
  </si>
  <si>
    <t>Resumenes por Partidos Judiciales</t>
  </si>
  <si>
    <t>GÜIMAR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</si>
</sst>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rab3uKm9SZ46eR6m2twHDrCpwwnJssBT0ywC4jM9dYVBU2fkuedQULr5jcDWVvQHIdCJqJjp7Tl35HV5tQXaQ==" saltValue="K8mMdCz2pJy85nWcHvay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CANARIAS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34.812617702448215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563</v>
      </c>
      <c r="D16" s="225">
        <f>IF(ISNUMBER(IF(D_I="SI",Datos!I16,Datos!I16+Datos!AC16)),IF(D_I="SI",Datos!I16,Datos!I16+Datos!AC16)," - ")</f>
        <v>551</v>
      </c>
      <c r="E16" s="226">
        <f>IF(ISNUMBER(IF(D_I="SI",Datos!J16,Datos!J16+Datos!AD16)),IF(D_I="SI",Datos!J16,Datos!J16+Datos!AD16)," - ")</f>
        <v>875</v>
      </c>
      <c r="F16" s="226">
        <f>IF(ISNUMBER(IF(D_I="SI",Datos!K16,Datos!K16+Datos!AE16)),IF(D_I="SI",Datos!K16,Datos!K16+Datos!AE16)," - ")</f>
        <v>810</v>
      </c>
      <c r="G16" s="1034" t="str">
        <f>IF(Datos!E16&lt;&gt;"",Datos!E16,Datos!D16)</f>
        <v>04</v>
      </c>
      <c r="H16" s="227">
        <f>IF(ISNUMBER(IF(D_I="SI",Datos!L16,Datos!L16+Datos!AF16)),IF(D_I="SI",Datos!L16,Datos!L16+Datos!AF16)," - ")</f>
        <v>628</v>
      </c>
      <c r="I16" s="1044" t="str">
        <f>IF(ISNUMBER(Datos!AS16/Datos!BM16),Datos!AS16/Datos!BM16," - ")</f>
        <v xml:space="preserve"> - </v>
      </c>
      <c r="J16" s="1045">
        <f>IF(ISNUMBER(Datos!BY16/Datos!CN16),Datos!BY16/Datos!CN16," - ")</f>
        <v>0</v>
      </c>
      <c r="K16" s="230">
        <f t="shared" si="3"/>
        <v>0.11545293072824156</v>
      </c>
      <c r="L16" s="1025">
        <f>IF(ISNUMBER(NºAsuntos!I16/NºAsuntos!G16),(NºAsuntos!I16/NºAsuntos!G16)*11," - ")</f>
        <v>8.5283950617283963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v>
      </c>
      <c r="D17" s="225">
        <f>IF(ISNUMBER(IF(D_I="SI",Datos!I17,Datos!I17+Datos!AC17)),IF(D_I="SI",Datos!I17,Datos!I17+Datos!AC17)," - ")</f>
        <v>9</v>
      </c>
      <c r="E17" s="226">
        <f>IF(ISNUMBER(IF(D_I="SI",Datos!J17,Datos!J17+Datos!AD17)),IF(D_I="SI",Datos!J17,Datos!J17+Datos!AD17)," - ")</f>
        <v>1</v>
      </c>
      <c r="F17" s="226">
        <f>IF(ISNUMBER(IF(D_I="SI",Datos!K17,Datos!K17+Datos!AE17)),IF(D_I="SI",Datos!K17,Datos!K17+Datos!AE17)," - ")</f>
        <v>7</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-0.66666666666666663</v>
      </c>
      <c r="L17" s="1025">
        <f>IF(ISNUMBER(NºAsuntos!I17/NºAsuntos!G17),(NºAsuntos!I17/NºAsuntos!G17)*11," - ")</f>
        <v>4.7142857142857144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572</v>
      </c>
      <c r="D18" s="1049">
        <f>SUBTOTAL(9,D15:D17)</f>
        <v>560</v>
      </c>
      <c r="E18" s="1050">
        <f>SUBTOTAL(9,E15:E17)</f>
        <v>876</v>
      </c>
      <c r="F18" s="1050">
        <f>SUBTOTAL(9,F15:F17)</f>
        <v>817</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573</v>
      </c>
      <c r="D19" s="1071">
        <f>SUBTOTAL(9,D9:D18)</f>
        <v>561</v>
      </c>
      <c r="E19" s="1072">
        <f>SUBTOTAL(9,E9:E18)</f>
        <v>876</v>
      </c>
      <c r="F19" s="1072">
        <f>SUBTOTAL(9,F9:F18)</f>
        <v>818</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3D1gdXbRZYB+3rZUllINATx8luprBNnZbfbIFpl3FJJEblTel/UAX/XnXt52dNKakvTvYzT2D1n9aZKD8rkEg==" saltValue="Xo9D4LW0HtAx3X/uJTx2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XZfzqT5MwxyKlGBf7nIUBcD3tY6I+Pc9IKeCAa4ONUQt/BrVo0DAJ8sT5e3EkMeQbPdkiR+XAn28AE5O/3NMw==" saltValue="4ZxLV/+5bISTLLOCBQr5X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0</v>
      </c>
      <c r="R10" s="181">
        <v>0</v>
      </c>
      <c r="S10" s="181">
        <v>6</v>
      </c>
      <c r="T10" s="181">
        <v>1</v>
      </c>
      <c r="U10" s="181">
        <v>4</v>
      </c>
      <c r="V10" s="181">
        <v>3</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4</v>
      </c>
      <c r="BB10" s="129">
        <f t="shared" si="0"/>
        <v>3</v>
      </c>
      <c r="BC10" s="125">
        <f t="shared" si="0"/>
        <v>4</v>
      </c>
      <c r="BD10" s="126">
        <f>IF(ISNUMBER(BA10/AZ10),BA10/AZ10," - ")</f>
        <v>4</v>
      </c>
      <c r="BE10" s="127">
        <f>IF(ISNUMBER(BB10/BA10),BB10/BA10, " - ")</f>
        <v>0.75</v>
      </c>
      <c r="BF10" s="127">
        <f>IF(ISNUMBER(BC10/BA10),BC10/BA10, " - ")</f>
        <v>1</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3000</v>
      </c>
      <c r="J12" s="183">
        <v>1334</v>
      </c>
      <c r="K12" s="183">
        <v>1013</v>
      </c>
      <c r="L12" s="183">
        <v>3321</v>
      </c>
      <c r="M12" s="183">
        <v>385</v>
      </c>
      <c r="N12" s="183">
        <v>351</v>
      </c>
      <c r="O12" s="181">
        <v>277</v>
      </c>
      <c r="P12" s="183">
        <v>228</v>
      </c>
      <c r="Q12" s="183">
        <v>100</v>
      </c>
      <c r="R12" s="183">
        <v>3820</v>
      </c>
      <c r="S12" s="183">
        <v>2778</v>
      </c>
      <c r="T12" s="183">
        <v>958</v>
      </c>
      <c r="U12" s="183">
        <v>1015</v>
      </c>
      <c r="V12" s="183">
        <v>2724</v>
      </c>
      <c r="W12" s="183">
        <v>261</v>
      </c>
      <c r="X12" s="189">
        <v>481</v>
      </c>
      <c r="Y12" s="191">
        <v>39</v>
      </c>
      <c r="Z12" s="181">
        <v>50</v>
      </c>
      <c r="AA12" s="181">
        <v>49</v>
      </c>
      <c r="AB12" s="181">
        <v>40</v>
      </c>
      <c r="AC12" s="183">
        <v>0</v>
      </c>
      <c r="AD12" s="183">
        <v>0</v>
      </c>
      <c r="AE12" s="183">
        <v>0</v>
      </c>
      <c r="AF12" s="189">
        <v>0</v>
      </c>
      <c r="AG12" s="202">
        <v>30</v>
      </c>
      <c r="AH12" s="183">
        <v>39</v>
      </c>
      <c r="AI12" s="183">
        <v>47</v>
      </c>
      <c r="AJ12" s="203">
        <v>22</v>
      </c>
      <c r="AK12" s="182">
        <v>0</v>
      </c>
      <c r="AL12" s="183">
        <v>0</v>
      </c>
      <c r="AM12" s="183">
        <v>0</v>
      </c>
      <c r="AN12" s="189">
        <v>0</v>
      </c>
      <c r="AO12" s="259">
        <v>3</v>
      </c>
      <c r="AP12" s="155">
        <v>3</v>
      </c>
      <c r="AQ12" s="155">
        <v>3</v>
      </c>
      <c r="AR12" s="154">
        <v>3</v>
      </c>
      <c r="AS12" s="340" t="s">
        <v>802</v>
      </c>
      <c r="AT12" s="203"/>
      <c r="AU12" s="202"/>
      <c r="AV12" s="203"/>
      <c r="AW12" s="202"/>
      <c r="AX12" s="203"/>
      <c r="AY12" s="126">
        <f t="shared" si="1"/>
        <v>2808</v>
      </c>
      <c r="AZ12" s="127">
        <f t="shared" si="1"/>
        <v>997</v>
      </c>
      <c r="BA12" s="127">
        <f t="shared" si="1"/>
        <v>1062</v>
      </c>
      <c r="BB12" s="127">
        <f t="shared" si="1"/>
        <v>2746</v>
      </c>
      <c r="BC12" s="125">
        <f>IF(ISNUMBER(X12),X12," - ")</f>
        <v>481</v>
      </c>
      <c r="BD12" s="126">
        <f t="shared" si="2"/>
        <v>1.0651955867602809</v>
      </c>
      <c r="BE12" s="127">
        <f t="shared" si="3"/>
        <v>2.5856873822975519</v>
      </c>
      <c r="BF12" s="127">
        <f t="shared" si="4"/>
        <v>0.45291902071563089</v>
      </c>
      <c r="BG12" s="196">
        <f t="shared" si="5"/>
        <v>3.5828625235404896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3001</v>
      </c>
      <c r="J13" s="184">
        <f t="shared" si="6"/>
        <v>1334</v>
      </c>
      <c r="K13" s="184">
        <f t="shared" si="6"/>
        <v>1014</v>
      </c>
      <c r="L13" s="184">
        <f t="shared" si="6"/>
        <v>3321</v>
      </c>
      <c r="M13" s="184">
        <f t="shared" si="6"/>
        <v>386</v>
      </c>
      <c r="N13" s="184">
        <f t="shared" si="6"/>
        <v>351</v>
      </c>
      <c r="O13" s="184">
        <f t="shared" si="6"/>
        <v>277</v>
      </c>
      <c r="P13" s="184">
        <f t="shared" si="6"/>
        <v>228</v>
      </c>
      <c r="Q13" s="184">
        <f t="shared" si="6"/>
        <v>100</v>
      </c>
      <c r="R13" s="184">
        <f t="shared" si="6"/>
        <v>3820</v>
      </c>
      <c r="S13" s="184">
        <f t="shared" si="6"/>
        <v>2784</v>
      </c>
      <c r="T13" s="184">
        <f t="shared" si="6"/>
        <v>959</v>
      </c>
      <c r="U13" s="184">
        <f t="shared" si="6"/>
        <v>1019</v>
      </c>
      <c r="V13" s="184">
        <f t="shared" si="6"/>
        <v>2727</v>
      </c>
      <c r="W13" s="184">
        <f t="shared" si="6"/>
        <v>265</v>
      </c>
      <c r="X13" s="184">
        <f t="shared" si="6"/>
        <v>481</v>
      </c>
      <c r="Y13" s="184">
        <f t="shared" si="6"/>
        <v>39</v>
      </c>
      <c r="Z13" s="184">
        <f t="shared" si="6"/>
        <v>50</v>
      </c>
      <c r="AA13" s="184">
        <f t="shared" si="6"/>
        <v>49</v>
      </c>
      <c r="AB13" s="184">
        <f t="shared" si="6"/>
        <v>40</v>
      </c>
      <c r="AC13" s="184">
        <f t="shared" si="6"/>
        <v>0</v>
      </c>
      <c r="AD13" s="184">
        <f t="shared" si="6"/>
        <v>0</v>
      </c>
      <c r="AE13" s="184">
        <f t="shared" si="6"/>
        <v>0</v>
      </c>
      <c r="AF13" s="184">
        <f>SUBTOTAL(9,AF9:AF12)</f>
        <v>0</v>
      </c>
      <c r="AG13" s="184">
        <f t="shared" ref="AG13:AT13" si="7">SUBTOTAL(9,AG8:AG12)</f>
        <v>30</v>
      </c>
      <c r="AH13" s="184">
        <f t="shared" si="7"/>
        <v>39</v>
      </c>
      <c r="AI13" s="184">
        <f t="shared" si="7"/>
        <v>47</v>
      </c>
      <c r="AJ13" s="184">
        <f t="shared" si="7"/>
        <v>22</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2814</v>
      </c>
      <c r="AZ13" s="184">
        <f>SUBTOTAL(9,AZ8:AZ12)</f>
        <v>998</v>
      </c>
      <c r="BA13" s="184">
        <f>SUBTOTAL(9,BA8:BA12)</f>
        <v>1066</v>
      </c>
      <c r="BB13" s="184">
        <f>SUBTOTAL(9,BB8:BB12)</f>
        <v>2749</v>
      </c>
      <c r="BC13" s="184">
        <f>SUBTOTAL(9,BC8:BC12)</f>
        <v>485</v>
      </c>
      <c r="BD13" s="205">
        <f>IF(ISNUMBER(BA13/AZ13),BA13/AZ13," - ")</f>
        <v>1.0681362725450902</v>
      </c>
      <c r="BE13" s="206">
        <f>IF(ISNUMBER(BB13/BA13),BB13/BA13, " - ")</f>
        <v>2.5787992495309568</v>
      </c>
      <c r="BF13" s="206">
        <f>IF(ISNUMBER(BC13/BA13),BC13/BA13, " - ")</f>
        <v>0.45497185741088181</v>
      </c>
      <c r="BG13" s="207">
        <f>IF(ISNUMBER((AY13+AZ13)/BA13),(AY13+AZ13)/BA13," - ")</f>
        <v>3.575984990619137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551</v>
      </c>
      <c r="J16" s="183">
        <v>875</v>
      </c>
      <c r="K16" s="183">
        <v>810</v>
      </c>
      <c r="L16" s="183">
        <v>628</v>
      </c>
      <c r="M16" s="183">
        <v>97</v>
      </c>
      <c r="N16" s="183">
        <v>606</v>
      </c>
      <c r="O16" s="181">
        <v>9</v>
      </c>
      <c r="P16" s="183">
        <v>4</v>
      </c>
      <c r="Q16" s="183">
        <v>17</v>
      </c>
      <c r="R16" s="183">
        <v>169</v>
      </c>
      <c r="S16" s="183">
        <v>699</v>
      </c>
      <c r="T16" s="183">
        <v>806</v>
      </c>
      <c r="U16" s="183">
        <v>835</v>
      </c>
      <c r="V16" s="183">
        <v>679</v>
      </c>
      <c r="W16" s="183">
        <v>121</v>
      </c>
      <c r="X16" s="189">
        <v>584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699</v>
      </c>
      <c r="AZ16" s="127">
        <f t="shared" si="9"/>
        <v>806</v>
      </c>
      <c r="BA16" s="127">
        <f t="shared" si="9"/>
        <v>835</v>
      </c>
      <c r="BB16" s="127">
        <f t="shared" si="9"/>
        <v>679</v>
      </c>
      <c r="BC16" s="125">
        <f>IF(ISNUMBER(W16),W16," - ")</f>
        <v>121</v>
      </c>
      <c r="BD16" s="126">
        <f t="shared" ref="BD16" si="11">IF(ISNUMBER(BA16/AZ16),BA16/AZ16," - ")</f>
        <v>1.0359801488833746</v>
      </c>
      <c r="BE16" s="127">
        <f t="shared" ref="BE16" si="12">IF(ISNUMBER(BB16/BA16),BB16/BA16, " - ")</f>
        <v>0.81317365269461073</v>
      </c>
      <c r="BF16" s="127">
        <f t="shared" ref="BF16" si="13">IF(ISNUMBER(BC16/BA16),BC16/BA16, " - ")</f>
        <v>0.14491017964071856</v>
      </c>
      <c r="BG16" s="196">
        <f t="shared" si="10"/>
        <v>1.8023952095808384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v>
      </c>
      <c r="J17" s="183">
        <v>1</v>
      </c>
      <c r="K17" s="183">
        <v>7</v>
      </c>
      <c r="L17" s="183">
        <v>3</v>
      </c>
      <c r="M17" s="183">
        <v>0</v>
      </c>
      <c r="N17" s="183">
        <v>0</v>
      </c>
      <c r="O17" s="183">
        <v>0</v>
      </c>
      <c r="P17" s="183">
        <v>0</v>
      </c>
      <c r="Q17" s="183">
        <v>0</v>
      </c>
      <c r="R17" s="183">
        <v>0</v>
      </c>
      <c r="S17" s="183">
        <v>17</v>
      </c>
      <c r="T17" s="183">
        <v>2</v>
      </c>
      <c r="U17" s="183">
        <v>3</v>
      </c>
      <c r="V17" s="183">
        <v>17</v>
      </c>
      <c r="W17" s="183">
        <v>1</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2</v>
      </c>
      <c r="BA17" s="129">
        <f t="shared" si="14"/>
        <v>3</v>
      </c>
      <c r="BB17" s="129">
        <f t="shared" si="14"/>
        <v>17</v>
      </c>
      <c r="BC17" s="125">
        <f>IF(ISNUMBER(W17),W17," - ")</f>
        <v>1</v>
      </c>
      <c r="BD17" s="126">
        <f>IF(ISNUMBER(BA17/AZ17),BA17/AZ17," - ")</f>
        <v>1.5</v>
      </c>
      <c r="BE17" s="127">
        <f>IF(ISNUMBER(BB17/BA17),BB17/BA17, " - ")</f>
        <v>5.666666666666667</v>
      </c>
      <c r="BF17" s="127">
        <f>IF(ISNUMBER(BC17/BA17),BC17/BA17, " - ")</f>
        <v>0.33333333333333331</v>
      </c>
      <c r="BG17" s="196">
        <f>IF(ISNUMBER((AY17+AZ17)/BA17),(AY17+AZ17)/BA17," - ")</f>
        <v>6.333333333333333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560</v>
      </c>
      <c r="J18" s="184">
        <f t="shared" si="15"/>
        <v>876</v>
      </c>
      <c r="K18" s="184">
        <f t="shared" si="15"/>
        <v>817</v>
      </c>
      <c r="L18" s="184">
        <f t="shared" si="15"/>
        <v>631</v>
      </c>
      <c r="M18" s="184">
        <f t="shared" si="15"/>
        <v>97</v>
      </c>
      <c r="N18" s="184">
        <f t="shared" si="15"/>
        <v>606</v>
      </c>
      <c r="O18" s="184">
        <f t="shared" si="15"/>
        <v>9</v>
      </c>
      <c r="P18" s="184">
        <f t="shared" si="15"/>
        <v>4</v>
      </c>
      <c r="Q18" s="184">
        <f t="shared" si="15"/>
        <v>17</v>
      </c>
      <c r="R18" s="184">
        <f t="shared" si="15"/>
        <v>169</v>
      </c>
      <c r="S18" s="184">
        <f t="shared" si="15"/>
        <v>716</v>
      </c>
      <c r="T18" s="184">
        <f t="shared" si="15"/>
        <v>808</v>
      </c>
      <c r="U18" s="184">
        <f t="shared" si="15"/>
        <v>838</v>
      </c>
      <c r="V18" s="184">
        <f t="shared" si="15"/>
        <v>696</v>
      </c>
      <c r="W18" s="184">
        <f t="shared" si="15"/>
        <v>122</v>
      </c>
      <c r="X18" s="184">
        <f t="shared" si="15"/>
        <v>584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716</v>
      </c>
      <c r="AZ18" s="184">
        <f>SUBTOTAL(9,AZ14:AZ17)</f>
        <v>808</v>
      </c>
      <c r="BA18" s="184">
        <f>SUBTOTAL(9,BA14:BA17)</f>
        <v>838</v>
      </c>
      <c r="BB18" s="184">
        <f>SUBTOTAL(9,BB14:BB17)</f>
        <v>696</v>
      </c>
      <c r="BC18" s="184">
        <f>SUBTOTAL(9,BC14:BC17)</f>
        <v>122</v>
      </c>
      <c r="BD18" s="205">
        <f>IF(ISNUMBER(BA18/AZ18),BA18/AZ18," - ")</f>
        <v>1.0371287128712872</v>
      </c>
      <c r="BE18" s="206">
        <f>IF(ISNUMBER(BB18/BA18),BB18/BA18, " - ")</f>
        <v>0.83054892601431984</v>
      </c>
      <c r="BF18" s="206">
        <f>IF(ISNUMBER(BC18/BA18),BC18/BA18, " - ")</f>
        <v>0.14558472553699284</v>
      </c>
      <c r="BG18" s="207">
        <f>IF(ISNUMBER((AY18+AZ18)/BA18),(AY18+AZ18)/BA18," - ")</f>
        <v>1.8186157517899761</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3561</v>
      </c>
      <c r="J19" s="134">
        <f t="shared" si="18"/>
        <v>2210</v>
      </c>
      <c r="K19" s="134">
        <f t="shared" si="18"/>
        <v>1831</v>
      </c>
      <c r="L19" s="134">
        <f t="shared" si="18"/>
        <v>3952</v>
      </c>
      <c r="M19" s="134">
        <f t="shared" si="18"/>
        <v>483</v>
      </c>
      <c r="N19" s="134">
        <f t="shared" si="18"/>
        <v>957</v>
      </c>
      <c r="O19" s="134">
        <f t="shared" si="18"/>
        <v>286</v>
      </c>
      <c r="P19" s="134">
        <f t="shared" si="18"/>
        <v>232</v>
      </c>
      <c r="Q19" s="134">
        <f t="shared" si="18"/>
        <v>117</v>
      </c>
      <c r="R19" s="134">
        <f t="shared" si="18"/>
        <v>3989</v>
      </c>
      <c r="S19" s="134">
        <f t="shared" si="18"/>
        <v>3500</v>
      </c>
      <c r="T19" s="134">
        <f t="shared" si="18"/>
        <v>1767</v>
      </c>
      <c r="U19" s="134">
        <f t="shared" si="18"/>
        <v>1857</v>
      </c>
      <c r="V19" s="134">
        <f t="shared" si="18"/>
        <v>3423</v>
      </c>
      <c r="W19" s="134">
        <f t="shared" si="18"/>
        <v>387</v>
      </c>
      <c r="X19" s="134">
        <f t="shared" si="18"/>
        <v>1065</v>
      </c>
      <c r="Y19" s="134">
        <f t="shared" si="18"/>
        <v>39</v>
      </c>
      <c r="Z19" s="134">
        <f t="shared" si="18"/>
        <v>50</v>
      </c>
      <c r="AA19" s="134">
        <f t="shared" si="18"/>
        <v>49</v>
      </c>
      <c r="AB19" s="134">
        <f t="shared" si="18"/>
        <v>40</v>
      </c>
      <c r="AC19" s="134">
        <f t="shared" si="18"/>
        <v>0</v>
      </c>
      <c r="AD19" s="134">
        <f t="shared" si="18"/>
        <v>0</v>
      </c>
      <c r="AE19" s="134">
        <f t="shared" si="18"/>
        <v>0</v>
      </c>
      <c r="AF19" s="134">
        <f t="shared" si="18"/>
        <v>0</v>
      </c>
      <c r="AG19" s="134">
        <f t="shared" si="18"/>
        <v>30</v>
      </c>
      <c r="AH19" s="134">
        <f t="shared" si="18"/>
        <v>39</v>
      </c>
      <c r="AI19" s="134">
        <f t="shared" si="18"/>
        <v>47</v>
      </c>
      <c r="AJ19" s="134">
        <f t="shared" si="18"/>
        <v>22</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3530</v>
      </c>
      <c r="AZ19" s="134">
        <f>SUBTOTAL(9,AZ9:AZ18)</f>
        <v>1806</v>
      </c>
      <c r="BA19" s="134">
        <f>SUBTOTAL(9,BA9:BA18)</f>
        <v>1904</v>
      </c>
      <c r="BB19" s="134">
        <f>SUBTOTAL(9,BB9:BB18)</f>
        <v>3445</v>
      </c>
      <c r="BC19" s="135">
        <f>SUBTOTAL(9,BC9:BC18)</f>
        <v>607</v>
      </c>
      <c r="BD19" s="213">
        <f>IF(ISNUMBER(BA19/AZ19),BA19/AZ19," - ")</f>
        <v>1.054263565891473</v>
      </c>
      <c r="BE19" s="210">
        <f>IF(ISNUMBER(BB19/BA19),BB19/BA19, " - ")</f>
        <v>1.8093487394957983</v>
      </c>
      <c r="BF19" s="210">
        <f>IF(ISNUMBER(BC19/BA19),BC19/BA19, " - ")</f>
        <v>0.31880252100840334</v>
      </c>
      <c r="BG19" s="135">
        <f>IF(ISNUMBER((AY19+AZ19)/BA19),(AY19+AZ19)/BA19," - ")</f>
        <v>2.8025210084033612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sdeC/YXQHdw5gT1pbtKHNIcOj4w5d9sNlLo5F0aSIW5KKT/8snycnmVnQV11a8vhOxVbqlQIVNaorwr6XoYjA==" saltValue="VLMAc9tq9a4gLyEl7NtNK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YFAd17Y2YvQ8LJdCHB2ke9UKgAtmW/+8uMIMWSkOwTnTSEgt+TuP8Q4Aq4VYe6dPAv5mr+G3XuW/83KTTiNqg==" saltValue="5irLCSlWMeJ1o0bDlkkb/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50</v>
      </c>
      <c r="O12" s="334"/>
      <c r="P12" s="334"/>
      <c r="Q12" s="226">
        <f>IF(ISNUMBER(Datos!P12),Datos!P12,0)</f>
        <v>228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3820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385</v>
      </c>
      <c r="BD12" s="229">
        <f>IF(ISNUMBER(Datos!N12),Datos!N12," - ")</f>
        <v>351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0.76734104046242779</v>
      </c>
      <c r="BH12" s="260">
        <f>IF(ISNUMBER(((IF(J_V="SI",Datos!L12/Datos!K12,(Datos!L12+Datos!AB12)/(Datos!K12+Datos!AA12)))*11)/factor_trimestre),((IF(J_V="SI",Datos!L12/Datos!K12,(Datos!L12+Datos!AB12)/(Datos!K12+Datos!AA12)))*11)/factor_trimestre," - ")</f>
        <v>9.4943502824858772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3.4669555796316358E-2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50</v>
      </c>
      <c r="O13" s="900">
        <f t="shared" si="0"/>
        <v>0</v>
      </c>
      <c r="P13" s="900">
        <f t="shared" si="0"/>
        <v>0</v>
      </c>
      <c r="Q13" s="899">
        <f t="shared" si="0"/>
        <v>228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100</v>
      </c>
      <c r="AD13" s="899">
        <f t="shared" si="1"/>
        <v>0</v>
      </c>
      <c r="AE13" s="899">
        <f t="shared" si="1"/>
        <v>0</v>
      </c>
      <c r="AF13" s="899">
        <f t="shared" si="1"/>
        <v>0</v>
      </c>
      <c r="AG13" s="899">
        <f t="shared" si="1"/>
        <v>0</v>
      </c>
      <c r="AH13" s="899">
        <f t="shared" si="1"/>
        <v>40</v>
      </c>
      <c r="AI13" s="899">
        <f t="shared" si="1"/>
        <v>0</v>
      </c>
      <c r="AJ13" s="899">
        <f t="shared" si="1"/>
        <v>0</v>
      </c>
      <c r="AK13" s="899">
        <f t="shared" si="1"/>
        <v>0</v>
      </c>
      <c r="AL13" s="899">
        <f t="shared" si="1"/>
        <v>0</v>
      </c>
      <c r="AM13" s="899">
        <f t="shared" si="1"/>
        <v>3820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386</v>
      </c>
      <c r="BD13" s="899">
        <f t="shared" si="1"/>
        <v>351</v>
      </c>
      <c r="BE13" s="899">
        <f t="shared" si="1"/>
        <v>0</v>
      </c>
      <c r="BF13" s="899">
        <f t="shared" si="1"/>
        <v>0</v>
      </c>
      <c r="BG13" s="899">
        <f>IF(ISNUMBER(Datos!K13/Datos!J13),Datos!K13/Datos!J13," - ")</f>
        <v>0.76011994002998495</v>
      </c>
      <c r="BH13" s="903">
        <f>IF(ISNUMBER(((Datos!L13/Datos!K13)*11)/factor_trimestre),((Datos!L13/Datos!K13)*11)/factor_trimestre," - ")</f>
        <v>9.82544378698225</v>
      </c>
      <c r="BI13" s="899">
        <f>IF(ISNUMBER('Resol  Asuntos'!D13/NºAsuntos!G13),'Resol  Asuntos'!D13/NºAsuntos!G13," - ")</f>
        <v>0.36312323612417685</v>
      </c>
      <c r="BJ13" s="899" t="str">
        <f>IF(ISNUMBER(Datos!CI13/Datos!CJ13),Datos!CI13/Datos!CJ13," - ")</f>
        <v xml:space="preserve"> - </v>
      </c>
      <c r="BK13" s="899">
        <f>SUBTOTAL(9,BK8:BK12)</f>
        <v>0</v>
      </c>
      <c r="BL13" s="899">
        <f>IF(ISNUMBER((I13-AB13+L13)/(F13)),(I13-AB13+L13)/(F13)," - ")</f>
        <v>-1</v>
      </c>
      <c r="BM13" s="904">
        <f>SUBTOTAL(9,BM9:BM12)</f>
        <v>3.4669555796316358E-2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563</v>
      </c>
      <c r="G16" s="598">
        <f>IF(ISNUMBER(IF(D_I="SI",Datos!I16,Datos!I16+Datos!AC16)),IF(D_I="SI",Datos!I16,Datos!I16+Datos!AC16)," - ")</f>
        <v>551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810</v>
      </c>
      <c r="AC16" s="226">
        <f>IF(ISNUMBER(Datos!Q16),Datos!Q16," - ")</f>
        <v>17</v>
      </c>
      <c r="AD16" s="334"/>
      <c r="AE16" s="484"/>
      <c r="AF16" s="596">
        <f>IF(ISNUMBER(IF(D_I="SI",Datos!L16,Datos!L16+Datos!AF16)),IF(D_I="SI",Datos!L16,Datos!L16+Datos!AF16)," - ")</f>
        <v>628</v>
      </c>
      <c r="AG16" s="334"/>
      <c r="AH16" s="334"/>
      <c r="AI16" s="334"/>
      <c r="AJ16" s="334"/>
      <c r="AK16" s="334"/>
      <c r="AL16" s="479"/>
      <c r="AM16" s="335">
        <f>IF(ISNUMBER(Datos!R16),Datos!R16," - ")</f>
        <v>169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97</v>
      </c>
      <c r="BD16" s="229">
        <f>IF(ISNUMBER(Datos!N16),Datos!N16," - ")</f>
        <v>606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0.92571428571428571</v>
      </c>
      <c r="BH16" s="260">
        <f>IF(ISNUMBER(((IF(D_I="SI",Datos!L16/Datos!K16,(Datos!L16+Datos!AF16)/(Datos!K16+Datos!AE16)))*11)/factor_trimestre),((IF(D_I="SI",Datos!L16/Datos!K16,(Datos!L16+Datos!AF16)/(Datos!K16+Datos!AE16)))*11)/factor_trimestre," - ")</f>
        <v>2.3259259259259264</v>
      </c>
      <c r="BI16" s="243">
        <f>IF(ISNUMBER('Resol  Asuntos'!D16/NºAsuntos!G16),'Resol  Asuntos'!D16/NºAsuntos!G16," - ")</f>
        <v>0.11975308641975309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7</v>
      </c>
      <c r="BH17" s="260">
        <f>IF(ISNUMBER(((IF(D_I="SI",Datos!L17/Datos!K17,(Datos!L17+Datos!AF17)/(Datos!K17+Datos!AE17)))*11)/factor_trimestre),((IF(D_I="SI",Datos!L17/Datos!K17,(Datos!L17+Datos!AF17)/(Datos!K17+Datos!AE17)))*11)/factor_trimestre," - ")</f>
        <v>1.2857142857142858</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563</v>
      </c>
      <c r="G18" s="898">
        <f>SUBTOTAL(9,G15:G17)</f>
        <v>560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817</v>
      </c>
      <c r="AC18" s="899">
        <f t="shared" si="4"/>
        <v>17</v>
      </c>
      <c r="AD18" s="899">
        <f t="shared" si="4"/>
        <v>0</v>
      </c>
      <c r="AE18" s="899">
        <f t="shared" si="4"/>
        <v>0</v>
      </c>
      <c r="AF18" s="899">
        <f t="shared" si="4"/>
        <v>631</v>
      </c>
      <c r="AG18" s="899">
        <f t="shared" si="4"/>
        <v>0</v>
      </c>
      <c r="AH18" s="899">
        <f t="shared" si="4"/>
        <v>0</v>
      </c>
      <c r="AI18" s="899">
        <f t="shared" si="4"/>
        <v>0</v>
      </c>
      <c r="AJ18" s="899">
        <f t="shared" si="4"/>
        <v>0</v>
      </c>
      <c r="AK18" s="899">
        <f t="shared" si="4"/>
        <v>0</v>
      </c>
      <c r="AL18" s="899">
        <f t="shared" si="4"/>
        <v>0</v>
      </c>
      <c r="AM18" s="899">
        <f t="shared" si="4"/>
        <v>169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97</v>
      </c>
      <c r="BD18" s="899">
        <f t="shared" si="4"/>
        <v>606</v>
      </c>
      <c r="BE18" s="899">
        <f t="shared" si="4"/>
        <v>0</v>
      </c>
      <c r="BF18" s="899">
        <f t="shared" si="4"/>
        <v>0</v>
      </c>
      <c r="BG18" s="899">
        <f>IF(ISNUMBER(Datos!K18/Datos!J18),Datos!K18/Datos!J18," - ")</f>
        <v>0.93264840182648401</v>
      </c>
      <c r="BH18" s="903">
        <f>IF(ISNUMBER(((Datos!L18/Datos!K18)*11)/factor_trimestre),((Datos!L18/Datos!K18)*11)/factor_trimestre," - ")</f>
        <v>2.3170134638922892</v>
      </c>
      <c r="BI18" s="899">
        <f>SUBTOTAL(9,BI15:BI17)</f>
        <v>0.11975308641975309</v>
      </c>
      <c r="BJ18" s="899">
        <f>SUBTOTAL(9,BJ15:BJ17)</f>
        <v>0</v>
      </c>
      <c r="BK18" s="899">
        <f>SUBTOTAL(9,BK15:BK17)</f>
        <v>0</v>
      </c>
      <c r="BL18" s="899">
        <f>IF(ISNUMBER((I18-AB18+L18)/(F18)),(I18-AB18+L18)/(F18)," - ")</f>
        <v>-1.4511545293072825</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564</v>
      </c>
      <c r="G19" s="820">
        <f t="shared" si="6"/>
        <v>561</v>
      </c>
      <c r="H19" s="822">
        <f t="shared" si="6"/>
        <v>0</v>
      </c>
      <c r="I19" s="820">
        <f t="shared" si="6"/>
        <v>0</v>
      </c>
      <c r="J19" s="822">
        <f t="shared" si="6"/>
        <v>0</v>
      </c>
      <c r="K19" s="822">
        <f t="shared" si="6"/>
        <v>0</v>
      </c>
      <c r="L19" s="881">
        <f t="shared" si="6"/>
        <v>0</v>
      </c>
      <c r="M19" s="881">
        <f t="shared" si="6"/>
        <v>0</v>
      </c>
      <c r="N19" s="881">
        <f t="shared" si="6"/>
        <v>50</v>
      </c>
      <c r="O19" s="881">
        <f t="shared" si="6"/>
        <v>0</v>
      </c>
      <c r="P19" s="881">
        <f t="shared" si="6"/>
        <v>0</v>
      </c>
      <c r="Q19" s="822">
        <f t="shared" si="6"/>
        <v>232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818</v>
      </c>
      <c r="AC19" s="821">
        <f t="shared" si="7"/>
        <v>117</v>
      </c>
      <c r="AD19" s="821">
        <f t="shared" si="7"/>
        <v>0</v>
      </c>
      <c r="AE19" s="821">
        <f t="shared" si="7"/>
        <v>0</v>
      </c>
      <c r="AF19" s="828">
        <f t="shared" si="7"/>
        <v>631</v>
      </c>
      <c r="AG19" s="828">
        <f t="shared" si="7"/>
        <v>0</v>
      </c>
      <c r="AH19" s="828">
        <f t="shared" si="7"/>
        <v>40</v>
      </c>
      <c r="AI19" s="828">
        <f t="shared" si="7"/>
        <v>0</v>
      </c>
      <c r="AJ19" s="821">
        <f t="shared" si="7"/>
        <v>0</v>
      </c>
      <c r="AK19" s="828">
        <f t="shared" si="7"/>
        <v>0</v>
      </c>
      <c r="AL19" s="828">
        <f t="shared" si="7"/>
        <v>0</v>
      </c>
      <c r="AM19" s="828">
        <f t="shared" si="7"/>
        <v>3989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483</v>
      </c>
      <c r="BD19" s="820">
        <f t="shared" si="7"/>
        <v>957</v>
      </c>
      <c r="BE19" s="820">
        <f t="shared" si="7"/>
        <v>0</v>
      </c>
      <c r="BF19" s="830">
        <f t="shared" si="7"/>
        <v>0</v>
      </c>
      <c r="BG19" s="915">
        <f>IF(ISNUMBER(Datos!K19/Datos!J19),Datos!K19/Datos!J19," - ")</f>
        <v>0.8285067873303168</v>
      </c>
      <c r="BH19" s="915">
        <f>IF(ISNUMBER(((Datos!L19/Datos!K19)*11)/factor_trimestre),((Datos!L19/Datos!K19)*11)/factor_trimestre," - ")</f>
        <v>6.4751501911523768</v>
      </c>
      <c r="BI19" s="813">
        <f>IF(ISNUMBER(Datos!J19/Datos!I19),Datos!J19/Datos!I19," - ")</f>
        <v>0.62061218758775627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-1.4503546099290781</v>
      </c>
      <c r="BM19" s="889">
        <f>IF(ISNUMBER((Datos!P19-Datos!Q19+R19)/(Datos!R19-Datos!P19+Datos!Q19-R19)),(Datos!P19-Datos!Q19+R19)/(Datos!R19-Datos!P19+Datos!Q19-R19)," - ")</f>
        <v>2.9685080020650491E-2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324.47085128456968</v>
      </c>
      <c r="G21" s="552">
        <f>IF(ISNUMBER(STDEV(G8:G18)),STDEV(G8:G18),"-")</f>
        <v>302.28595733179537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443.94278910688485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179.17254253930761</v>
      </c>
      <c r="BD21" s="551"/>
      <c r="BE21" s="551">
        <f>IF(ISNUMBER(STDEV(BE8:BE18)),STDEV(BE8:BE18),"-")</f>
        <v>0</v>
      </c>
      <c r="BF21" s="556">
        <f>IF(ISNUMBER(STDEV(BF8:BF18)),STDEV(BF8:BF18),"-")</f>
        <v>0</v>
      </c>
      <c r="BG21" s="775">
        <f>IF(ISNUMBER(STDEV(BG8:BG18)),STDEV(BG8:BG18),"-")</f>
        <v>2.7531939598908806</v>
      </c>
      <c r="BH21" s="776">
        <f>IF(ISNUMBER(STDEV(BH8:BH18)),STDEV(BH8:BH18),"-")</f>
        <v>4.3096687731562895</v>
      </c>
      <c r="BI21" s="249">
        <f>IF(ISNUMBER(STDEV(BI8:BI18)),STDEV(BI8:BI18),"-")</f>
        <v>0.15247900062022629</v>
      </c>
      <c r="BJ21" s="230" t="str">
        <f>IF(ISNUMBER(BL21/BM21),BL21/BM21," - ")</f>
        <v xml:space="preserve"> - </v>
      </c>
      <c r="BK21" s="575"/>
      <c r="BL21" s="559">
        <f>IF(ISNUMBER(STDEV(BL8:BL18)),STDEV(BL8:BL18),"-")</f>
        <v>0.31901442703620536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sDPurbmHhmCR1o26CZTeS283SXuhqUfH+HiD0HgwMf0F67J7oF6HMmYn5tKY6OGpfGLZWEPQH/UhzVXPCcCNew==" saltValue="8iBCh565sVNaZodaIftI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CANARIAS</v>
      </c>
    </row>
    <row r="2" spans="1:78" ht="16.5" customHeight="1">
      <c r="C2" s="528" t="str">
        <f>Criterios!A10 &amp;"  "&amp;Criterios!B10 &amp; "  " &amp; IF(NOT(ISBLANK(Criterios!A11)),Criterios!A11 &amp;"  "&amp;Criterios!B11,"")</f>
        <v>Provincias  SANTA CRUZ DE TENERIFE  Resumenes por Partidos Judiciales  GÜIMAR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100</v>
      </c>
      <c r="AA12" s="332" t="str">
        <f>IF(ISNUMBER(IF(J_V="SI",Datos!L12,Datos!L12+Datos!AB12)-IF(Monitorios="SI",Datos!CD12,0)),
                          IF(J_V="SI",Datos!L12,Datos!L12+Datos!AB12)-IF(Monitorios="SI",Datos!CD12,0),
                          " - ")</f>
        <v xml:space="preserve"> - </v>
      </c>
      <c r="AB12" s="334"/>
      <c r="AC12" s="334"/>
      <c r="AD12" s="484"/>
      <c r="AE12" s="484">
        <f>IF(ISNUMBER(Datos!R12),Datos!R12," - ")</f>
        <v>3820</v>
      </c>
      <c r="AF12" s="229" t="str">
        <f>IF(ISNUMBER(Datos!BV12),Datos!BV12," - ")</f>
        <v xml:space="preserve"> - </v>
      </c>
      <c r="AG12" s="225" t="str">
        <f>IF(ISNUMBER(Datos!DV12),Datos!DV12," - ")</f>
        <v xml:space="preserve"> - </v>
      </c>
      <c r="AH12" s="298"/>
      <c r="AI12" s="227"/>
      <c r="AJ12" s="225">
        <f>IF(ISNUMBER(Datos!M12),Datos!M12," - ")</f>
        <v>385</v>
      </c>
      <c r="AK12" s="229">
        <f>IF(ISNUMBER(Datos!N12),Datos!N12," - ")</f>
        <v>351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9.4943502824858772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3.4669555796316358E-2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228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100</v>
      </c>
      <c r="AA13" s="900">
        <f t="shared" si="2"/>
        <v>0</v>
      </c>
      <c r="AB13" s="900">
        <f t="shared" si="2"/>
        <v>0</v>
      </c>
      <c r="AC13" s="900">
        <f t="shared" si="2"/>
        <v>0</v>
      </c>
      <c r="AD13" s="900">
        <f t="shared" si="2"/>
        <v>0</v>
      </c>
      <c r="AE13" s="900">
        <f t="shared" si="2"/>
        <v>3820</v>
      </c>
      <c r="AF13" s="908">
        <f t="shared" si="2"/>
        <v>0</v>
      </c>
      <c r="AG13" s="908">
        <f t="shared" si="2"/>
        <v>0</v>
      </c>
      <c r="AH13" s="908">
        <f t="shared" si="2"/>
        <v>0</v>
      </c>
      <c r="AI13" s="908">
        <f t="shared" si="2"/>
        <v>0</v>
      </c>
      <c r="AJ13" s="908">
        <f t="shared" si="2"/>
        <v>386</v>
      </c>
      <c r="AK13" s="908">
        <f t="shared" si="2"/>
        <v>351</v>
      </c>
      <c r="AL13" s="908">
        <f t="shared" si="2"/>
        <v>0</v>
      </c>
      <c r="AM13" s="908">
        <f t="shared" si="2"/>
        <v>0</v>
      </c>
      <c r="AN13" s="908">
        <f t="shared" si="2"/>
        <v>0</v>
      </c>
      <c r="AO13" s="904">
        <f>IF(ISNUMBER(((NºAsuntos!I13/NºAsuntos!G13)*11)/factor_trimestre),((NºAsuntos!I13/NºAsuntos!G13)*11)/factor_trimestre," - ")</f>
        <v>9.4854186265286931</v>
      </c>
      <c r="AP13" s="910" t="str">
        <f>IF(ISNUMBER(Datos!CI13/Datos!CJ13),Datos!CI13/Datos!CJ13," - ")</f>
        <v xml:space="preserve"> - </v>
      </c>
      <c r="AQ13" s="928">
        <f t="shared" ref="AQ13:AV13" si="3">SUBTOTAL(9,AQ9:AQ12)</f>
        <v>0</v>
      </c>
      <c r="AR13" s="928">
        <f t="shared" si="3"/>
        <v>3.4669555796316358E-2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563</v>
      </c>
      <c r="G16" s="225">
        <f>IF(ISNUMBER(IF(D_I="SI",Datos!I16,Datos!I16+Datos!AC16)),IF(D_I="SI",Datos!I16,Datos!I16+Datos!AC16)," - ")</f>
        <v>551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810</v>
      </c>
      <c r="Z16" s="619">
        <f>IF(ISNUMBER(Datos!Q16),Datos!Q16," - ")</f>
        <v>17</v>
      </c>
      <c r="AA16" s="332">
        <f>IF(ISNUMBER(IF(D_I="SI",Datos!L16,Datos!L16+Datos!AF16)),IF(D_I="SI",Datos!L16,Datos!L16+Datos!AF16)," - ")</f>
        <v>628</v>
      </c>
      <c r="AB16" s="334"/>
      <c r="AC16" s="334"/>
      <c r="AD16" s="484"/>
      <c r="AE16" s="484">
        <f>IF(ISNUMBER(Datos!R16),Datos!R16," - ")</f>
        <v>169</v>
      </c>
      <c r="AF16" s="229" t="str">
        <f>IF(ISNUMBER(Datos!BV16),Datos!BV16," - ")</f>
        <v xml:space="preserve"> - </v>
      </c>
      <c r="AG16" s="225"/>
      <c r="AH16" s="298"/>
      <c r="AI16" s="227"/>
      <c r="AJ16" s="225">
        <f>IF(ISNUMBER(Datos!M16),Datos!M16," - ")</f>
        <v>97</v>
      </c>
      <c r="AK16" s="229">
        <f>IF(ISNUMBER(Datos!N16),Datos!N16," - ")</f>
        <v>606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2.3259259259259264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1.2857142857142858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563</v>
      </c>
      <c r="G18" s="898">
        <f>SUBTOTAL(9,G15:G17)</f>
        <v>560</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817</v>
      </c>
      <c r="Z18" s="932">
        <f t="shared" si="5"/>
        <v>17</v>
      </c>
      <c r="AA18" s="932">
        <f t="shared" si="5"/>
        <v>631</v>
      </c>
      <c r="AB18" s="932">
        <f t="shared" si="5"/>
        <v>0</v>
      </c>
      <c r="AC18" s="932">
        <f t="shared" si="5"/>
        <v>0</v>
      </c>
      <c r="AD18" s="932">
        <f t="shared" si="5"/>
        <v>0</v>
      </c>
      <c r="AE18" s="932">
        <f t="shared" si="5"/>
        <v>169</v>
      </c>
      <c r="AF18" s="932">
        <f t="shared" si="5"/>
        <v>0</v>
      </c>
      <c r="AG18" s="932">
        <f t="shared" si="5"/>
        <v>0</v>
      </c>
      <c r="AH18" s="932">
        <f t="shared" si="5"/>
        <v>0</v>
      </c>
      <c r="AI18" s="932">
        <f t="shared" si="5"/>
        <v>0</v>
      </c>
      <c r="AJ18" s="932">
        <f t="shared" si="5"/>
        <v>97</v>
      </c>
      <c r="AK18" s="932">
        <f t="shared" si="5"/>
        <v>606</v>
      </c>
      <c r="AL18" s="932">
        <f t="shared" si="5"/>
        <v>0</v>
      </c>
      <c r="AM18" s="932">
        <f t="shared" si="5"/>
        <v>0</v>
      </c>
      <c r="AN18" s="932">
        <f t="shared" si="5"/>
        <v>0</v>
      </c>
      <c r="AO18" s="934">
        <f>IF(ISNUMBER(((NºAsuntos!I18/NºAsuntos!G18)*11)/factor_trimestre),((NºAsuntos!I18/NºAsuntos!G18)*11)/factor_trimestre," - ")</f>
        <v>2.3170134638922892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564</v>
      </c>
      <c r="G19" s="820">
        <f t="shared" si="7"/>
        <v>561</v>
      </c>
      <c r="H19" s="821">
        <f t="shared" si="7"/>
        <v>0</v>
      </c>
      <c r="I19" s="820">
        <f t="shared" si="7"/>
        <v>0</v>
      </c>
      <c r="J19" s="822">
        <f t="shared" si="7"/>
        <v>0</v>
      </c>
      <c r="K19" s="820">
        <f t="shared" si="7"/>
        <v>0</v>
      </c>
      <c r="L19" s="823">
        <f t="shared" si="7"/>
        <v>0</v>
      </c>
      <c r="M19" s="820">
        <f t="shared" si="7"/>
        <v>0</v>
      </c>
      <c r="N19" s="821">
        <f t="shared" si="7"/>
        <v>232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818</v>
      </c>
      <c r="Z19" s="827">
        <f t="shared" si="8"/>
        <v>117</v>
      </c>
      <c r="AA19" s="828">
        <f t="shared" si="8"/>
        <v>631</v>
      </c>
      <c r="AB19" s="828">
        <f t="shared" si="8"/>
        <v>0</v>
      </c>
      <c r="AC19" s="828">
        <f t="shared" si="8"/>
        <v>0</v>
      </c>
      <c r="AD19" s="829">
        <f t="shared" si="8"/>
        <v>0</v>
      </c>
      <c r="AE19" s="829">
        <f t="shared" si="8"/>
        <v>3989</v>
      </c>
      <c r="AF19" s="830">
        <f t="shared" si="8"/>
        <v>0</v>
      </c>
      <c r="AG19" s="831">
        <f t="shared" si="8"/>
        <v>0</v>
      </c>
      <c r="AH19" s="832">
        <f t="shared" si="8"/>
        <v>0</v>
      </c>
      <c r="AI19" s="830">
        <f t="shared" si="8"/>
        <v>0</v>
      </c>
      <c r="AJ19" s="820">
        <f t="shared" si="8"/>
        <v>483</v>
      </c>
      <c r="AK19" s="820">
        <f t="shared" si="8"/>
        <v>957</v>
      </c>
      <c r="AL19" s="820">
        <f t="shared" si="8"/>
        <v>0</v>
      </c>
      <c r="AM19" s="833">
        <f t="shared" si="8"/>
        <v>0</v>
      </c>
      <c r="AN19" s="823">
        <f>IF(ISNUMBER(Datos!K19/Datos!J19),Datos!K19/Datos!J19," - ")</f>
        <v>0.8285067873303168</v>
      </c>
      <c r="AO19" s="823">
        <f>IF(ISNUMBER(FIND("06",Criterios!A8,1)),(IF(ISNUMBER(((Datos!R19/Datos!Q19)*11)/factor_trimestre),((Datos!R19/Datos!Q19)*11)/factor_trimestre," - ")),(IF(ISNUMBER(((Datos!L19/Datos!K19)*11)/factor_trimestre),((Datos!L19/Datos!K19)*11)/factor_trimestre," - ")))</f>
        <v>6.4751501911523768</v>
      </c>
      <c r="AP19" s="834" t="str">
        <f>IF(ISNUMBER(Datos!CI19/Datos!CJ19),Datos!CI19/Datos!CJ19," - ")</f>
        <v xml:space="preserve"> - </v>
      </c>
      <c r="AQ19" s="834">
        <f>IF(OR(ISNUMBER(FIND("01",Criterios!A8,1)),ISNUMBER(FIND("02",Criterios!A8,1)),ISNUMBER(FIND("03",Criterios!A8,1)),ISNUMBER(FIND("04",Criterios!A8,1))),(J19-Y19+K19)/(F19-K19),(I19-Y19+K19)/(F19-K19))</f>
        <v>-1.4503546099290781</v>
      </c>
      <c r="AR19" s="834">
        <f>IF(ISNUMBER((Datos!P19-Datos!Q19+O19)/(Datos!R19-Datos!P19+Datos!Q19-O19)),(Datos!P19-Datos!Q19+O19)/(Datos!R19-Datos!P19+Datos!Q19-O19)," - ")</f>
        <v>2.9685080020650491E-2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324.47085128456968</v>
      </c>
      <c r="G21" s="552">
        <f>IF(ISNUMBER(STDEV(G8:G18)),STDEV(G8:G18),"-")</f>
        <v>302.28595733179537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179.17254253930761</v>
      </c>
      <c r="AK21" s="252"/>
      <c r="AL21" s="252">
        <f>IF(ISNUMBER(STDEV(AL8:AL18)),STDEV(AL8:AL18),"-")</f>
        <v>0</v>
      </c>
      <c r="AM21" s="254">
        <f>IF(ISNUMBER(STDEV(AM8:AM18)),STDEV(AM8:AM18),"-")</f>
        <v>0</v>
      </c>
      <c r="AN21" s="539">
        <f>IF(ISNUMBER(STDEV(AN8:AN18)),STDEV(AN8:AN18),"-")</f>
        <v>0</v>
      </c>
      <c r="AO21" s="540">
        <f>IF(ISNUMBER(STDEV(AO8:AO18)),STDEV(AO8:AO18),"-")</f>
        <v>4.2223803372319981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0pQ5HtU+4fhVEQcClO+k1TMlwSYBi+GI9Ch58RC3nr0bqM8zghaIrUDC2OeYO/JzLhtKoY0dRwnMSexcE4bKLw==" saltValue="cCJrXq3NXUm3jlZt/+rF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eDTOuZ8memWmMMx6S1fUy3GjyvcBLUTzwSvvcSphUdNFqlEucn4jdh6GQVHCeProMIPPYyoXR1J+lyfpQUTmw==" saltValue="QSyLyRjA2ytghS/raFv0f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CANARIAS</v>
      </c>
    </row>
    <row r="4" spans="1:156" ht="13.5" thickBot="1">
      <c r="A4" t="str">
        <f>Criterios!A10</f>
        <v>Provincias</v>
      </c>
      <c r="B4" t="str">
        <f>Criterios!B10</f>
        <v>SANTA CRUZ DE TENERIFE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mRcu394K1HgoKGCnXegrOUWrwpgtaVKLBA5URnL+8PddGo90fM1mZmGZxoQZ/CGwoYXxx346ZGO7A/m1UckfQ==" saltValue="94qRWoeqAO2eb8x3rQev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CANARIAS</v>
      </c>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0.36312323612417685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0.25676690266980934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YaHH3vipiMl+Rmcs7WzuMxOU68jjTv8UmG7FJktx5MX+nA0a8l84G/rC0hzboJtBlhTzDzEDY7gwzFdMpQMxLw==" saltValue="cpt0Bp8izn5RjSixL58gD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EIQ2wUo/o6/+vSaVz0u7r1KVqtpaH+ngO3ojoUA6R5B3H0wasCbHoYYPFEjUSlm81D3J2KxzXKGa5YQHRw2PA==" saltValue="HIV3/Fuh4IZE1kE85EdV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CANARIAS</v>
      </c>
      <c r="C2" s="375"/>
      <c r="D2" s="375"/>
      <c r="E2" s="375"/>
      <c r="F2" s="375"/>
    </row>
    <row r="3" spans="1:69" ht="19.5">
      <c r="A3" s="390" t="s">
        <v>115</v>
      </c>
      <c r="B3" s="391" t="str">
        <f>Criterios!A10 &amp;"  "&amp;Criterios!B10</f>
        <v>Provincias  SANTA CRUZ DE TENERIFE</v>
      </c>
      <c r="D3" s="375"/>
      <c r="E3" s="375"/>
      <c r="F3" s="375"/>
      <c r="BQ3" s="471"/>
    </row>
    <row r="4" spans="1:69" ht="13.5" thickBot="1">
      <c r="A4" s="375"/>
      <c r="B4" s="391" t="str">
        <f>Criterios!A11 &amp;"  "&amp;Criterios!B11</f>
        <v>Resumenes por Partidos Judiciales  GÜIMAR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3039</v>
      </c>
      <c r="D12" s="404">
        <f>IF(ISNUMBER(C12/Datos!BH12),C12/Datos!BH12," - ")</f>
        <v>1013</v>
      </c>
      <c r="E12" s="403">
        <f>IF(ISNUMBER(IF(J_V="SI",Datos!J12,Datos!J12+Datos!Z12)),IF(J_V="SI",Datos!J12,Datos!J12+Datos!Z12)," - ")</f>
        <v>1384</v>
      </c>
      <c r="F12" s="404">
        <f>IF(ISNUMBER(E12/B12),E12/B12," - ")</f>
        <v>461.33333333333331</v>
      </c>
      <c r="G12" s="403">
        <f>IF(ISNUMBER(IF(J_V="SI",Datos!K12,Datos!K12+Datos!AA12)),IF(J_V="SI",Datos!K12,Datos!K12+Datos!AA12)," - ")</f>
        <v>1062</v>
      </c>
      <c r="H12" s="404">
        <f>IF(ISNUMBER(G12/B12),G12/B12," - ")</f>
        <v>354</v>
      </c>
      <c r="I12" s="403">
        <f>IF(ISNUMBER(IF(J_V="SI",Datos!L12,Datos!L12+Datos!AB12)),IF(J_V="SI",Datos!L12,Datos!L12+Datos!AB12)," - ")</f>
        <v>3361</v>
      </c>
      <c r="J12" s="404">
        <f>IF(ISNUMBER(I12/B12),I12/B12," - ")</f>
        <v>1120.3333333333333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3040</v>
      </c>
      <c r="D13" s="850" t="str">
        <f>IF(ISNUMBER(C13/Datos!BI13),C13/Datos!BI13," - ")</f>
        <v xml:space="preserve"> - </v>
      </c>
      <c r="E13" s="849">
        <f>SUBTOTAL(9,E8:E12)</f>
        <v>1384</v>
      </c>
      <c r="F13" s="850">
        <f>IF(ISNUMBER(E13/B13),E13/B13," - ")</f>
        <v>461.33333333333331</v>
      </c>
      <c r="G13" s="849">
        <f>SUBTOTAL(9,G8:G12)</f>
        <v>1063</v>
      </c>
      <c r="H13" s="850">
        <f>IF(ISNUMBER(G13/B13),G13/B13," - ")</f>
        <v>354.33333333333331</v>
      </c>
      <c r="I13" s="849">
        <f>SUBTOTAL(9,I8:I12)</f>
        <v>3361</v>
      </c>
      <c r="J13" s="850">
        <f>IF(ISNUMBER(I13/B13),I13/B13," - ")</f>
        <v>1120.3333333333333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551</v>
      </c>
      <c r="D16" s="404">
        <f>IF(ISNUMBER(C16/Datos!BH16),C16/Datos!BH16," - ")</f>
        <v>183.66666666666666</v>
      </c>
      <c r="E16" s="403">
        <f>IF(ISNUMBER(IF(D_I="SI",Datos!J16,Datos!J16+Datos!AD16)),IF(D_I="SI",Datos!J16,Datos!J16+Datos!AD16)," - ")</f>
        <v>875</v>
      </c>
      <c r="F16" s="404">
        <f>IF(ISNUMBER(E16/B16),E16/B16," - ")</f>
        <v>291.66666666666669</v>
      </c>
      <c r="G16" s="403">
        <f>IF(ISNUMBER(IF(D_I="SI",Datos!K16,Datos!K16+Datos!AE16)),IF(D_I="SI",Datos!K16,Datos!K16+Datos!AE16)," - ")</f>
        <v>810</v>
      </c>
      <c r="H16" s="404">
        <f>IF(ISNUMBER(G16/B16),G16/B16," - ")</f>
        <v>270</v>
      </c>
      <c r="I16" s="403">
        <f>IF(ISNUMBER(IF(D_I="SI",Datos!L16,Datos!L16+Datos!AF16)),IF(D_I="SI",Datos!L16,Datos!L16+Datos!AF16)," - ")</f>
        <v>628</v>
      </c>
      <c r="J16" s="404">
        <f>IF(ISNUMBER(I16/B16),I16/B16," - ")</f>
        <v>209.33333333333334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v>
      </c>
      <c r="D17" s="404">
        <f>IF(ISNUMBER(C17/Datos!BH17),C17/Datos!BH17," - ")</f>
        <v>9</v>
      </c>
      <c r="E17" s="403">
        <f>IF(ISNUMBER(IF(D_I="SI",Datos!J17,Datos!J17+Datos!AD17)),IF(D_I="SI",Datos!J17,Datos!J17+Datos!AD17)," - ")</f>
        <v>1</v>
      </c>
      <c r="F17" s="404">
        <f>IF(ISNUMBER(E17/B17),E17/B17," - ")</f>
        <v>1</v>
      </c>
      <c r="G17" s="403">
        <f>IF(ISNUMBER(IF(D_I="SI",Datos!K17,Datos!K17+Datos!AE17)),IF(D_I="SI",Datos!K17,Datos!K17+Datos!AE17)," - ")</f>
        <v>7</v>
      </c>
      <c r="H17" s="404">
        <f>IF(ISNUMBER(G17/B17),G17/B17," - ")</f>
        <v>7</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560</v>
      </c>
      <c r="D18" s="850" t="str">
        <f>IF(ISNUMBER(C18/Datos!BI18),C18/Datos!BI18," - ")</f>
        <v xml:space="preserve"> - </v>
      </c>
      <c r="E18" s="849">
        <f>SUBTOTAL(9,E14:E17)</f>
        <v>876</v>
      </c>
      <c r="F18" s="850">
        <f>IF(ISNUMBER(E18/B18),E18/B18," - ")</f>
        <v>292</v>
      </c>
      <c r="G18" s="849">
        <f>SUBTOTAL(9,G14:G17)</f>
        <v>817</v>
      </c>
      <c r="H18" s="850">
        <f>IF(ISNUMBER(G18/B18),G18/B18," - ")</f>
        <v>272.33333333333331</v>
      </c>
      <c r="I18" s="849">
        <f>SUBTOTAL(9,I14:I17)</f>
        <v>631</v>
      </c>
      <c r="J18" s="850">
        <f>IF(ISNUMBER(I18/B18),I18/B18," - ")</f>
        <v>210.33333333333334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3600</v>
      </c>
      <c r="D19" s="795" t="str">
        <f>IF(ISNUMBER(C19/Datos!BI19),C19/Datos!BI19," - ")</f>
        <v xml:space="preserve"> - </v>
      </c>
      <c r="E19" s="794">
        <f>SUBTOTAL(9,E9:E18)</f>
        <v>2260</v>
      </c>
      <c r="F19" s="795">
        <f>IF(ISNUMBER(E19/B19),E19/B19," - ")</f>
        <v>753.33333333333337</v>
      </c>
      <c r="G19" s="794">
        <f>SUBTOTAL(9,G9:G18)</f>
        <v>1880</v>
      </c>
      <c r="H19" s="795">
        <f>IF(ISNUMBER(G19/B19),G19/B19," - ")</f>
        <v>626.66666666666663</v>
      </c>
      <c r="I19" s="794">
        <f>SUBTOTAL(9,I9:I18)</f>
        <v>3992</v>
      </c>
      <c r="J19" s="795">
        <f>IF(ISNUMBER(I19/B19),I19/B19," - ")</f>
        <v>1330.6666666666667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NFYErCfQe+tCI/yJ9pOGE2uyuEHw09mvOEOQhBzuebAwIez52SYTaKa0lWkaCkfys70Q2Fyn1d6z/sC+FjI6ZQ==" saltValue="Gsu/BhoohAzPe+fG6Q3N4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CANARIAS</v>
      </c>
      <c r="W1"/>
      <c r="X1"/>
    </row>
    <row r="2" spans="1:78" ht="16.5" customHeight="1">
      <c r="C2" s="488" t="str">
        <f>Criterios!A10 &amp;"  "&amp;Criterios!B10 &amp; "  " &amp; IF(NOT(ISBLANK(Criterios!A11)),Criterios!A11 &amp;"  "&amp;Criterios!B11,"")</f>
        <v>Provincias  SANTA CRUZ DE TENERIFE  Resumenes por Partidos Judiciales  GÜIMAR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3820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385</v>
      </c>
      <c r="AM12" s="690">
        <f>IF(ISNUMBER(Datos!N12+DatosP!N16),Datos!N12+DatosP!N16," - ")</f>
        <v>351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9.4943502824858772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3.4669555796316358E-2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228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100</v>
      </c>
      <c r="AE13" s="939">
        <f t="shared" si="1"/>
        <v>0</v>
      </c>
      <c r="AF13" s="939">
        <f t="shared" si="1"/>
        <v>0</v>
      </c>
      <c r="AG13" s="939">
        <f t="shared" si="1"/>
        <v>0</v>
      </c>
      <c r="AH13" s="939">
        <f t="shared" si="1"/>
        <v>3820</v>
      </c>
      <c r="AI13" s="939">
        <f t="shared" si="1"/>
        <v>0</v>
      </c>
      <c r="AJ13" s="939">
        <f t="shared" si="1"/>
        <v>0</v>
      </c>
      <c r="AK13" s="939">
        <f t="shared" si="1"/>
        <v>0</v>
      </c>
      <c r="AL13" s="939">
        <f t="shared" si="1"/>
        <v>386</v>
      </c>
      <c r="AM13" s="939">
        <f t="shared" si="1"/>
        <v>351</v>
      </c>
      <c r="AN13" s="939">
        <f t="shared" si="1"/>
        <v>0</v>
      </c>
      <c r="AO13" s="939">
        <f t="shared" si="1"/>
        <v>0</v>
      </c>
      <c r="AP13" s="944">
        <f>IF(ISNUMBER(((Datos!L13/Datos!K13)*11)/factor_trimestre),((Datos!L13/Datos!K13)*11)/factor_trimestre," - ")</f>
        <v>9.82544378698225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3.4669555796316358E-2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2.3170134638922892</v>
      </c>
      <c r="AQ18" s="944">
        <f>IF(ISNUMBER(((Datos!M18/Datos!L18)*11)/factor_trimestre),((Datos!M18/Datos!L18)*11)/factor_trimestre," - ")</f>
        <v>0.46117274167987321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-0.17511520737327188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228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100</v>
      </c>
      <c r="AE19" s="957">
        <f t="shared" si="5"/>
        <v>0</v>
      </c>
      <c r="AF19" s="958">
        <f t="shared" si="5"/>
        <v>0</v>
      </c>
      <c r="AG19" s="958">
        <f t="shared" si="5"/>
        <v>0</v>
      </c>
      <c r="AH19" s="958">
        <f t="shared" si="5"/>
        <v>3820</v>
      </c>
      <c r="AI19" s="958">
        <f t="shared" si="5"/>
        <v>0</v>
      </c>
      <c r="AJ19" s="959">
        <f t="shared" si="5"/>
        <v>0</v>
      </c>
      <c r="AK19" s="959">
        <f t="shared" si="5"/>
        <v>0</v>
      </c>
      <c r="AL19" s="951">
        <f t="shared" si="5"/>
        <v>386</v>
      </c>
      <c r="AM19" s="951">
        <f t="shared" si="5"/>
        <v>351</v>
      </c>
      <c r="AN19" s="951">
        <f t="shared" si="5"/>
        <v>0</v>
      </c>
      <c r="AO19" s="951">
        <f t="shared" si="5"/>
        <v>0</v>
      </c>
      <c r="AP19" s="951">
        <f>IF(ISNUMBER(((Datos!L19/Datos!K19)*11)/factor_trimestre),((Datos!L19/Datos!K19)*11)/factor_trimestre," - ")</f>
        <v>6.4751501911523768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2.9685080020650491E-2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222.28060344228567</v>
      </c>
      <c r="AM21" s="736"/>
      <c r="AN21" s="736">
        <f>IF(ISNUMBER(STDEV(AN8:AN18)),STDEV(AN8:AN18),"-")</f>
        <v>0</v>
      </c>
      <c r="AO21" s="742">
        <f>IF(ISNUMBER(STDEV(AO8:AO18)),STDEV(AO8:AO18),"-")</f>
        <v>0</v>
      </c>
      <c r="AP21" s="779">
        <f>IF(ISNUMBER(STDEV(AP8:AP18)),STDEV(AP8:AP18),"-")</f>
        <v>5.0004241230328104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XYrDz6rb4eouqNIgmXeVeKjQ3Titbqiv8r9o1DHrmUTm/lpi4UeHdI+KNsQMUpNZtfbaPKUxhpQUMYJiZqHNMw==" saltValue="Y0FGhGYmqJzSNaB6Mk6Dw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CANARIAS</v>
      </c>
      <c r="C2" s="375"/>
      <c r="E2" s="375"/>
      <c r="F2" s="375"/>
      <c r="G2" s="375"/>
      <c r="H2" s="375"/>
    </row>
    <row r="3" spans="1:15" ht="39">
      <c r="A3" s="415" t="s">
        <v>218</v>
      </c>
      <c r="B3" s="391" t="str">
        <f>Criterios!A10 &amp;"  "&amp;Criterios!B10</f>
        <v>Provincias  SANTA CRUZ DE TENERIFE</v>
      </c>
      <c r="C3" s="415"/>
      <c r="F3" s="375"/>
      <c r="G3" s="375"/>
      <c r="H3" s="375"/>
    </row>
    <row r="4" spans="1:15" ht="13.5" thickBot="1">
      <c r="A4" s="375"/>
      <c r="B4" s="391" t="str">
        <f>Criterios!A11 &amp;"  "&amp;Criterios!B11</f>
        <v>Resumenes por Partidos Judiciales  GÜIMAR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aSg9y1f3YE/aagbXt2eZNTh4jpPiSseEd0ZAN+kDjwkcM+EYh4mZnsshH78bJjYuSzui4K7YbWwdL7e5CqKDhA==" saltValue="5QPZ3dyGAaHYocwbALsLp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CANARIAS</v>
      </c>
      <c r="C2" s="391"/>
    </row>
    <row r="3" spans="1:78" ht="19.5">
      <c r="A3" s="425" t="s">
        <v>11</v>
      </c>
      <c r="B3" s="391" t="str">
        <f>Criterios!A10 &amp;"  "&amp;Criterios!B10</f>
        <v>Provincias  SANTA CRUZ DE TENERIFE</v>
      </c>
      <c r="C3" s="391"/>
      <c r="D3" s="425"/>
      <c r="BZ3" s="471"/>
    </row>
    <row r="4" spans="1:78" ht="13.5" thickBot="1">
      <c r="B4" s="391" t="str">
        <f>Criterios!A11 &amp;"  "&amp;Criterios!B11</f>
        <v>Resumenes por Partidos Judiciales  GÜIMAR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385</v>
      </c>
      <c r="E12" s="404">
        <f t="shared" si="0"/>
        <v>128.33333333333334</v>
      </c>
      <c r="F12" s="403">
        <f>IF(ISNUMBER(Datos!N12),Datos!N12," - ")</f>
        <v>351</v>
      </c>
      <c r="G12" s="404">
        <f t="shared" si="1"/>
        <v>117</v>
      </c>
      <c r="H12" s="403">
        <f>IF(ISNUMBER(Datos!O12),Datos!O12," - ")</f>
        <v>277</v>
      </c>
      <c r="I12" s="404">
        <f t="shared" si="2"/>
        <v>92.333333333333329</v>
      </c>
      <c r="BZ12" s="1186">
        <f>Datos!EZ12</f>
        <v>0</v>
      </c>
    </row>
    <row r="13" spans="1:78" ht="14.25" thickTop="1" thickBot="1">
      <c r="A13" s="848" t="str">
        <f>Datos!A13</f>
        <v>TOTAL</v>
      </c>
      <c r="B13" s="849">
        <f>Datos!AP13</f>
        <v>3</v>
      </c>
      <c r="C13" s="851">
        <f>Datos!AR13</f>
        <v>3</v>
      </c>
      <c r="D13" s="849">
        <f>SUBTOTAL(9,D9:D12)</f>
        <v>386</v>
      </c>
      <c r="E13" s="850">
        <f t="shared" si="0"/>
        <v>128.66666666666666</v>
      </c>
      <c r="F13" s="849">
        <f>SUBTOTAL(9,F9:F12)</f>
        <v>351</v>
      </c>
      <c r="G13" s="850">
        <f t="shared" si="1"/>
        <v>117</v>
      </c>
      <c r="H13" s="849">
        <f>SUBTOTAL(9,H9:H12)</f>
        <v>277</v>
      </c>
      <c r="I13" s="850">
        <f>IF(ISNUMBER(H13/B13),H13/B13," - ")</f>
        <v>92.333333333333329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97</v>
      </c>
      <c r="E16" s="404">
        <f t="shared" si="3"/>
        <v>32.333333333333336</v>
      </c>
      <c r="F16" s="403">
        <f>IF(ISNUMBER(Datos!N16),Datos!N16," - ")</f>
        <v>606</v>
      </c>
      <c r="G16" s="404">
        <f t="shared" si="4"/>
        <v>202</v>
      </c>
      <c r="H16" s="403">
        <f>IF(ISNUMBER(Datos!O16),Datos!O16," - ")</f>
        <v>9</v>
      </c>
      <c r="I16" s="404">
        <f t="shared" si="5"/>
        <v>3</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97</v>
      </c>
      <c r="E18" s="850">
        <f t="shared" si="3"/>
        <v>32.333333333333336</v>
      </c>
      <c r="F18" s="849">
        <f>SUBTOTAL(9,F15:F17)</f>
        <v>606</v>
      </c>
      <c r="G18" s="850">
        <f t="shared" si="4"/>
        <v>202</v>
      </c>
      <c r="H18" s="849">
        <f>SUBTOTAL(9,H15:H17)</f>
        <v>9</v>
      </c>
      <c r="I18" s="850">
        <f>IF(ISNUMBER(H18/B18),H18/B18," - ")</f>
        <v>3</v>
      </c>
      <c r="BZ18" s="1186"/>
    </row>
    <row r="19" spans="1:78" ht="14.25" thickTop="1" thickBot="1">
      <c r="A19" s="793" t="str">
        <f>Datos!A19</f>
        <v>TOTAL JURISDICCIONES</v>
      </c>
      <c r="B19" s="794">
        <f>Datos!AP19</f>
        <v>3</v>
      </c>
      <c r="C19" s="794">
        <f>Datos!AR19</f>
        <v>3</v>
      </c>
      <c r="D19" s="794">
        <f>SUBTOTAL(9,D8:D18)</f>
        <v>483</v>
      </c>
      <c r="E19" s="795">
        <f>IF(ISNUMBER(D19/B19),D19/B19," - ")</f>
        <v>161</v>
      </c>
      <c r="F19" s="794">
        <f>SUBTOTAL(9,F8:F18)</f>
        <v>957</v>
      </c>
      <c r="G19" s="795">
        <f>IF(ISNUMBER(F19/B19),F19/B19," - ")</f>
        <v>319</v>
      </c>
      <c r="H19" s="794">
        <f>SUBTOTAL(9,H8:H18)</f>
        <v>286</v>
      </c>
      <c r="I19" s="795">
        <f>IF(ISNUMBER(H19/B19),H19/B19," - ")</f>
        <v>95.333333333333329</v>
      </c>
    </row>
    <row r="22" spans="1:78">
      <c r="A22" s="391" t="str">
        <f>Criterios!A4</f>
        <v>Fecha Informe: 27 feb. 2025</v>
      </c>
    </row>
    <row r="27" spans="1:78">
      <c r="A27" s="414"/>
    </row>
  </sheetData>
  <sheetProtection algorithmName="SHA-512" hashValue="210jrqUeyfl2G2CSrg3vijY9fteEVk2aZiFKkx9XwIlctgYnX2i/vMvXPxTRErv4lFqsj2AFeAmeKoJJV1obHA==" saltValue="9GXCpH73VyHNTXDWZoMR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CANARIAS</v>
      </c>
    </row>
    <row r="3" spans="1:4" ht="19.5">
      <c r="A3" s="429" t="s">
        <v>32</v>
      </c>
      <c r="B3" s="391" t="str">
        <f>Criterios!A10 &amp;"  "&amp;Criterios!B10</f>
        <v>Provincias  SANTA CRUZ DE TENERIFE</v>
      </c>
    </row>
    <row r="4" spans="1:4" ht="13.5" thickBot="1">
      <c r="B4" s="391" t="str">
        <f>Criterios!A11 &amp;"  "&amp;Criterios!B11</f>
        <v>Resumenes por Partidos Judiciales  GÜIMAR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228</v>
      </c>
      <c r="C12" s="434">
        <f>IF(ISNUMBER(Datos!Q12),Datos!Q12," - ")</f>
        <v>100</v>
      </c>
      <c r="D12" s="408">
        <f>IF(ISNUMBER(Datos!R12),Datos!R12," - ")</f>
        <v>3820</v>
      </c>
    </row>
    <row r="13" spans="1:4" ht="14.25" thickTop="1" thickBot="1">
      <c r="A13" s="848" t="str">
        <f>Datos!A13</f>
        <v>TOTAL</v>
      </c>
      <c r="B13" s="849">
        <f>SUBTOTAL(9,B9:B12)</f>
        <v>228</v>
      </c>
      <c r="C13" s="853">
        <f>SUBTOTAL(9,C9:C12)</f>
        <v>100</v>
      </c>
      <c r="D13" s="851">
        <f>SUBTOTAL(9,D9:D12)</f>
        <v>3820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17</v>
      </c>
      <c r="D16" s="408">
        <f>IF(ISNUMBER(Datos!R16),Datos!R16," - ")</f>
        <v>169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17</v>
      </c>
      <c r="D18" s="851">
        <f>SUBTOTAL(9,D15:D17)</f>
        <v>169</v>
      </c>
    </row>
    <row r="19" spans="1:4" ht="16.5" customHeight="1" thickTop="1" thickBot="1">
      <c r="A19" s="793" t="str">
        <f>Datos!A19</f>
        <v>TOTAL JURISDICCIONES</v>
      </c>
      <c r="B19" s="798">
        <f>SUBTOTAL(9,B8:B18)</f>
        <v>232</v>
      </c>
      <c r="C19" s="799">
        <f>SUBTOTAL(9,C8:C18)</f>
        <v>117</v>
      </c>
      <c r="D19" s="800">
        <f>SUBTOTAL(9,D8:D18)</f>
        <v>3989</v>
      </c>
    </row>
    <row r="20" spans="1:4" ht="7.5" customHeight="1"/>
    <row r="21" spans="1:4" ht="6" customHeight="1"/>
    <row r="22" spans="1:4">
      <c r="A22" s="391" t="str">
        <f>Criterios!A4</f>
        <v>Fecha Informe: 27 feb. 2025</v>
      </c>
    </row>
    <row r="27" spans="1:4">
      <c r="A27" s="414"/>
    </row>
  </sheetData>
  <sheetProtection algorithmName="SHA-512" hashValue="LrWUsbd7kSoHrFm694wkfcFrnk05oRdUlisp/UxwWOXMc0a67WYuA1OEe9d/7UB7Md99zTMBWpL4WMxg5vj3nA==" saltValue="rkbyj5sVKcrhQRJcFLq0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CANARIAS</v>
      </c>
    </row>
    <row r="3" spans="1:11" ht="18.75" customHeight="1">
      <c r="A3" s="429" t="s">
        <v>118</v>
      </c>
      <c r="B3" s="391" t="str">
        <f>Criterios!A10 &amp;"  "&amp;Criterios!B10</f>
        <v>Provincias  SANTA CRUZ DE TENERIFE</v>
      </c>
    </row>
    <row r="4" spans="1:11" ht="10.5" customHeight="1" thickBot="1">
      <c r="B4" s="391" t="str">
        <f>Criterios!A11 &amp;"  "&amp;Criterios!B11</f>
        <v>Resumenes por Partidos Judiciales  GÜIMAR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-0.83333333333333337</v>
      </c>
      <c r="C10" s="456">
        <f>IF(ISNUMBER((Datos!J10-Datos!T10)/Datos!T10),(Datos!J10-Datos!T10)/Datos!T10," - ")</f>
        <v>-1</v>
      </c>
      <c r="D10" s="456">
        <f>IF(ISNUMBER((Datos!K10-Datos!U10)/Datos!U10),(Datos!K10-Datos!U10)/Datos!U10," - ")</f>
        <v>-0.75</v>
      </c>
      <c r="E10" s="456">
        <f>IF(ISNUMBER((Datos!L10-Datos!V10)/Datos!V10),(Datos!L10-Datos!V10)/Datos!V10," - ")</f>
        <v>-1</v>
      </c>
      <c r="F10" s="456">
        <f>IF(ISNUMBER((Datos!M10-Datos!W10)/Datos!W10),(Datos!M10-Datos!W10)/Datos!W10," - ")</f>
        <v>-0.75</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-0.42857142857142855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8.2264957264957264E-2</v>
      </c>
      <c r="C12" s="456">
        <f>IF(ISNUMBER(
   IF(J_V="SI",(Datos!J12-Datos!T12)/Datos!T12,(Datos!J12+Datos!Z12-(Datos!T12+Datos!AH12))/(Datos!T12+Datos!AH12))
     ),IF(J_V="SI",(Datos!J12-Datos!T12)/Datos!T12,(Datos!J12+Datos!Z12-(Datos!T12+Datos!AH12))/(Datos!T12+Datos!AH12))," - ")</f>
        <v>0.3881644934804413</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0.2239621267297888</v>
      </c>
      <c r="F12" s="456">
        <f>IF(ISNUMBER((Datos!M12-Datos!W12)/Datos!W12),(Datos!M12-Datos!W12)/Datos!W12," - ")</f>
        <v>0.47509578544061304</v>
      </c>
      <c r="G12" s="457">
        <f>IF(ISNUMBER((Datos!N12-Datos!X12)/Datos!X12),(Datos!N12-Datos!X12)/Datos!X12," - ")</f>
        <v>-0.27027027027027029</v>
      </c>
      <c r="H12" s="455">
        <f>IF(ISNUMBER(((NºAsuntos!G12/NºAsuntos!E12)-Datos!BD12)/Datos!BD12),((NºAsuntos!G12/NºAsuntos!E12)-Datos!BD12)/Datos!BD12," - ")</f>
        <v>-0.27962427745664742</v>
      </c>
      <c r="I12" s="456">
        <f>IF(ISNUMBER(((NºAsuntos!I12/NºAsuntos!G12)-Datos!BE12)/Datos!BE12),((NºAsuntos!I12/NºAsuntos!G12)-Datos!BE12)/Datos!BE12," - ")</f>
        <v>0.22396212672978874</v>
      </c>
      <c r="J12" s="461">
        <f>IF(ISNUMBER((('Resol  Asuntos'!D12/NºAsuntos!G12)-Datos!BF12)/Datos!BF12),(('Resol  Asuntos'!D12/NºAsuntos!G12)-Datos!BF12)/Datos!BF12," - ")</f>
        <v>-0.19958419958419957</v>
      </c>
      <c r="K12" s="462">
        <f>IF(ISNUMBER((((NºAsuntos!C12+NºAsuntos!E12)/NºAsuntos!G12)-Datos!BG12)/Datos!BG12),(((NºAsuntos!C12+NºAsuntos!E12)/NºAsuntos!G12)-Datos!BG12)/Datos!BG12," - ")</f>
        <v>0.16241787122207613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8.0312722103766873E-2</v>
      </c>
      <c r="C13" s="855">
        <f>IF(ISNUMBER(
   IF(J_V="SI",(Datos!J13-Datos!T13)/Datos!T13,(Datos!J13+Datos!Z13-(Datos!T13+Datos!AH13))/(Datos!T13+Datos!AH13))
     ),IF(J_V="SI",(Datos!J13-Datos!T13)/Datos!T13,(Datos!J13+Datos!Z13-(Datos!T13+Datos!AH13))/(Datos!T13+Datos!AH13))," - ")</f>
        <v>0.38677354709418837</v>
      </c>
      <c r="D13" s="855">
        <f>IF(ISNUMBER(
   IF(J_V="SI",(Datos!K13-Datos!U13)/Datos!U13,(Datos!K13+Datos!AA13-(Datos!U13+Datos!AI13))/(Datos!U13+Datos!AI13))
     ),IF(J_V="SI",(Datos!K13-Datos!U13)/Datos!U13,(Datos!K13+Datos!AA13-(Datos!U13+Datos!AI13))/(Datos!U13+Datos!AI13))," - ")</f>
        <v>-2.8142589118198874E-3</v>
      </c>
      <c r="E13" s="855">
        <f>IF(ISNUMBER(
   IF(J_V="SI",(Datos!L13-Datos!V13)/Datos!V13,(Datos!L13+Datos!AB13-(Datos!V13+Datos!AJ13))/(Datos!V13+Datos!AJ13))
     ),IF(J_V="SI",(Datos!L13-Datos!V13)/Datos!V13,(Datos!L13+Datos!AB13-(Datos!V13+Datos!AJ13))/(Datos!V13+Datos!AJ13))," - ")</f>
        <v>0.22262640960349217</v>
      </c>
      <c r="F13" s="856">
        <f>IF(ISNUMBER((Datos!M13-Datos!W13)/Datos!W13),(Datos!M13-Datos!W13)/Datos!W13," - ")</f>
        <v>0.45660377358490567</v>
      </c>
      <c r="G13" s="857">
        <f>IF(ISNUMBER((Datos!N13-Datos!X13)/Datos!X13),(Datos!N13-Datos!X13)/Datos!X13," - ")</f>
        <v>-0.27027027027027029</v>
      </c>
      <c r="H13" s="857">
        <f>IF(ISNUMBER(((NºAsuntos!G13/NºAsuntos!E13)-Datos!BD13)/Datos!BD13),((NºAsuntos!G13/NºAsuntos!E13)-Datos!BD13)/Datos!BD13," - ")</f>
        <v>-0.28093109132514182</v>
      </c>
      <c r="I13" s="857">
        <f>IF(ISNUMBER(((NºAsuntos!I13/NºAsuntos!G13)-Datos!BE13)/Datos!BE13),((NºAsuntos!I13/NºAsuntos!G13)-Datos!BE13)/Datos!BE13," - ")</f>
        <v>0.22607690746690751</v>
      </c>
      <c r="J13" s="857">
        <f>IF(ISNUMBER((('Resol  Asuntos'!D13/NºAsuntos!G13)-Datos!BF13)/Datos!BF13),(('Resol  Asuntos'!D13/NºAsuntos!G13)-Datos!BF13)/Datos!BF13," - ")</f>
        <v>-0.20187758823015975</v>
      </c>
      <c r="K13" s="857">
        <f>IF(ISNUMBER((((NºAsuntos!C13+NºAsuntos!E13)/NºAsuntos!G13)-Datos!BG13)/Datos!BG13),(((NºAsuntos!C13+NºAsuntos!E13)/NºAsuntos!G13)-Datos!BG13)/Datos!BG13," - ")</f>
        <v>0.16382093877925716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-0.21173104434907011</v>
      </c>
      <c r="C16" s="456">
        <f>IF(ISNUMBER(
   IF(D_I="SI",(Datos!J16-Datos!T16)/Datos!T16,(Datos!J16+Datos!AD16-(Datos!T16+Datos!AL16))/(Datos!T16+Datos!AL16))
     ),IF(D_I="SI",(Datos!J16-Datos!T16)/Datos!T16,(Datos!J16+Datos!AD16-(Datos!T16+Datos!AL16))/(Datos!T16+Datos!AL16))," - ")</f>
        <v>8.5607940446650127E-2</v>
      </c>
      <c r="D16" s="456">
        <f>IF(ISNUMBER(
   IF(D_I="SI",(Datos!K16-Datos!U16)/Datos!U16,(Datos!K16+Datos!AE16-(Datos!U16+Datos!AM16))/(Datos!U16+Datos!AM16))
     ),IF(D_I="SI",(Datos!K16-Datos!U16)/Datos!U16,(Datos!K16+Datos!AE16-(Datos!U16+Datos!AM16))/(Datos!U16+Datos!AM16))," - ")</f>
        <v>-2.9940119760479042E-2</v>
      </c>
      <c r="E16" s="456">
        <f>IF(ISNUMBER(
   IF(D_I="SI",(Datos!L16-Datos!V16)/Datos!V16,(Datos!L16+Datos!AF16-(Datos!V16+Datos!AN16))/(Datos!V16+Datos!AN16))
     ),IF(D_I="SI",(Datos!L16-Datos!V16)/Datos!V16,(Datos!L16+Datos!AF16-(Datos!V16+Datos!AN16))/(Datos!V16+Datos!AN16))," - ")</f>
        <v>-7.511045655375552E-2</v>
      </c>
      <c r="F16" s="456">
        <f>IF(ISNUMBER((Datos!M16-Datos!W16)/Datos!W16),(Datos!M16-Datos!W16)/Datos!W16," - ")</f>
        <v>-0.19834710743801653</v>
      </c>
      <c r="G16" s="457">
        <f>IF(ISNUMBER((Datos!N16-Datos!X16)/Datos!X16),(Datos!N16-Datos!X16)/Datos!X16," - ")</f>
        <v>3.7671232876712327E-2</v>
      </c>
      <c r="H16" s="455">
        <f>IF(ISNUMBER(((NºAsuntos!G16/NºAsuntos!E16)-Datos!BD16)/Datos!BD16),((NºAsuntos!G16/NºAsuntos!E16)-Datos!BD16)/Datos!BD16," - ")</f>
        <v>-0.1064362703165098</v>
      </c>
      <c r="I16" s="456">
        <f>IF(ISNUMBER(((NºAsuntos!I16/NºAsuntos!G16)-Datos!BE16)/Datos!BE16),((NºAsuntos!I16/NºAsuntos!G16)-Datos!BE16)/Datos!BE16," - ")</f>
        <v>-4.6564482990599711E-2</v>
      </c>
      <c r="J16" s="461">
        <f>IF(ISNUMBER((('Resol  Asuntos'!D16/NºAsuntos!G16)-Datos!BF16)/Datos!BF16),(('Resol  Asuntos'!D16/NºAsuntos!G16)-Datos!BF16)/Datos!BF16," - ")</f>
        <v>-0.17360473421079481</v>
      </c>
      <c r="K16" s="462">
        <f>IF(ISNUMBER((((NºAsuntos!C16+NºAsuntos!E16)/NºAsuntos!G16)-Datos!BG16)/Datos!BG16),(((NºAsuntos!C16+NºAsuntos!E16)/NºAsuntos!G16)-Datos!BG16)/Datos!BG16," - ")</f>
        <v>-2.3247610844510175E-2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-0.47058823529411764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1.3333333333333333</v>
      </c>
      <c r="E17" s="456">
        <f>IF(ISNUMBER(
   IF(D_I="SI",(Datos!L17-Datos!V17)/Datos!V17,(Datos!L17+Datos!AF17-(Datos!V17+Datos!AN17))/(Datos!V17+Datos!AN17))
     ),IF(D_I="SI",(Datos!L17-Datos!V17)/Datos!V17,(Datos!L17+Datos!AF17-(Datos!V17+Datos!AN17))/(Datos!V17+Datos!AN17))," - ")</f>
        <v>-0.82352941176470584</v>
      </c>
      <c r="F17" s="456">
        <f>IF(ISNUMBER((Datos!M17-Datos!W17)/Datos!W17),(Datos!M17-Datos!W17)/Datos!W17," - ")</f>
        <v>-1</v>
      </c>
      <c r="G17" s="457" t="str">
        <f>IF(ISNUMBER((Datos!N17-Datos!X17)/Datos!X17),(Datos!N17-Datos!X17)/Datos!X17," - ")</f>
        <v xml:space="preserve"> - </v>
      </c>
      <c r="H17" s="455">
        <f>IF(ISNUMBER(((NºAsuntos!G17/NºAsuntos!E17)-Datos!BD17)/Datos!BD17),((NºAsuntos!G17/NºAsuntos!E17)-Datos!BD17)/Datos!BD17," - ")</f>
        <v>3.6666666666666665</v>
      </c>
      <c r="I17" s="456">
        <f>IF(ISNUMBER(((NºAsuntos!I17/NºAsuntos!G17)-Datos!BE17)/Datos!BE17),((NºAsuntos!I17/NºAsuntos!G17)-Datos!BE17)/Datos!BE17," - ")</f>
        <v>-0.9243697478991596</v>
      </c>
      <c r="J17" s="461">
        <f>IF(ISNUMBER((('Resol  Asuntos'!D17/NºAsuntos!G17)-Datos!BF17)/Datos!BF17),(('Resol  Asuntos'!D17/NºAsuntos!G17)-Datos!BF17)/Datos!BF17," - ")</f>
        <v>-1</v>
      </c>
      <c r="K17" s="462">
        <f>IF(ISNUMBER((((NºAsuntos!C17+NºAsuntos!E17)/NºAsuntos!G17)-Datos!BG17)/Datos!BG17),(((NºAsuntos!C17+NºAsuntos!E17)/NºAsuntos!G17)-Datos!BG17)/Datos!BG17," - ")</f>
        <v>-0.77443609022556381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-0.21787709497206703</v>
      </c>
      <c r="C18" s="855">
        <f>IF(ISNUMBER(
   IF(Criterios!B14="SI",(Datos!J18-Datos!T18)/Datos!T18,(Datos!J18+Datos!AD18-(Datos!T18+Datos!AL18))/(Datos!T18+Datos!AL18))
     ),IF(Criterios!B14="SI",(Datos!J18-Datos!T18)/Datos!T18,(Datos!J18+Datos!AD18-(Datos!T18+Datos!AL18))/(Datos!T18+Datos!AL18))," - ")</f>
        <v>8.4158415841584164E-2</v>
      </c>
      <c r="D18" s="855">
        <f>IF(ISNUMBER(
   IF(Criterios!B14="SI",(Datos!K18-Datos!U18)/Datos!U18,(Datos!K18+Datos!AE18-(Datos!U18+Datos!AM18))/(Datos!U18+Datos!AM18))
     ),IF(Criterios!B14="SI",(Datos!K18-Datos!U18)/Datos!U18,(Datos!K18+Datos!AE18-(Datos!U18+Datos!AM18))/(Datos!U18+Datos!AM18))," - ")</f>
        <v>-2.5059665871121718E-2</v>
      </c>
      <c r="E18" s="855">
        <f>IF(ISNUMBER(
   IF(Criterios!B14="SI",(Datos!L18-Datos!V18)/Datos!V18,(Datos!L18+Datos!AF18-(Datos!V18+Datos!AN18))/(Datos!V18+Datos!AN18))
     ),IF(Criterios!B14="SI",(Datos!L18-Datos!V18)/Datos!V18,(Datos!L18+Datos!AF18-(Datos!V18+Datos!AN18))/(Datos!V18+Datos!AN18))," - ")</f>
        <v>-9.3390804597701146E-2</v>
      </c>
      <c r="F18" s="856">
        <f>IF(ISNUMBER((Datos!M18-Datos!W18)/Datos!W18),(Datos!M18-Datos!W18)/Datos!W18," - ")</f>
        <v>-0.20491803278688525</v>
      </c>
      <c r="G18" s="857">
        <f>IF(ISNUMBER((Datos!N18-Datos!X18)/Datos!X18),(Datos!N18-Datos!X18)/Datos!X18," - ")</f>
        <v>3.7671232876712327E-2</v>
      </c>
      <c r="H18" s="857">
        <f>IF(ISNUMBER(((NºAsuntos!G18/NºAsuntos!E18)-Datos!BD18)/Datos!BD18),((NºAsuntos!G18/NºAsuntos!E18)-Datos!BD18)/Datos!BD18," - ")</f>
        <v>-0.10073996578066939</v>
      </c>
      <c r="I18" s="857">
        <f>IF(ISNUMBER(((NºAsuntos!I18/NºAsuntos!G18)-Datos!BE18)/Datos!BE18),((NºAsuntos!I18/NºAsuntos!G18)-Datos!BE18)/Datos!BE18," - ")</f>
        <v>-7.0087508265451098E-2</v>
      </c>
      <c r="J18" s="857">
        <f>IF(ISNUMBER((('Resol  Asuntos'!D18/NºAsuntos!G18)-Datos!BF18)/Datos!BF18),(('Resol  Asuntos'!D18/NºAsuntos!G18)-Datos!BF18)/Datos!BF18," - ")</f>
        <v>-0.18448140939462651</v>
      </c>
      <c r="K18" s="857">
        <f>IF(ISNUMBER((((NºAsuntos!C18+NºAsuntos!E18)/NºAsuntos!G18)-Datos!BG18)/Datos!BG18),(((NºAsuntos!C18+NºAsuntos!E18)/NºAsuntos!G18)-Datos!BG18)/Datos!BG18," - ")</f>
        <v>-3.3523196381358096E-2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1.9830028328611898E-2</v>
      </c>
      <c r="C19" s="802">
        <f>IF(ISNUMBER(
   IF(J_V="SI",(Datos!J19-Datos!T19)/Datos!T19,(Datos!J19+Datos!Z19-(Datos!T19+Datos!AH19))/(Datos!T19+Datos!AH19))
     ),IF(J_V="SI",(Datos!J19-Datos!T19)/Datos!T19,(Datos!J19+Datos!Z19-(Datos!T19+Datos!AH19))/(Datos!T19+Datos!AH19))," - ")</f>
        <v>0.25138427464008861</v>
      </c>
      <c r="D19" s="802">
        <f>IF(ISNUMBER(
   IF(J_V="SI",(Datos!K19-Datos!U19)/Datos!U19,(Datos!K19+Datos!AA19-(Datos!U19+Datos!AI19))/(Datos!U19+Datos!AI19))
     ),IF(J_V="SI",(Datos!K19-Datos!U19)/Datos!U19,(Datos!K19+Datos!AA19-(Datos!U19+Datos!AI19))/(Datos!U19+Datos!AI19))," - ")</f>
        <v>-1.2605042016806723E-2</v>
      </c>
      <c r="E19" s="802">
        <f>IF(ISNUMBER(
   IF(J_V="SI",(Datos!L19-Datos!V19)/Datos!V19,(Datos!L19+Datos!AB19-(Datos!V19+Datos!AJ19))/(Datos!V19+Datos!AJ19))
     ),IF(J_V="SI",(Datos!L19-Datos!V19)/Datos!V19,(Datos!L19+Datos!AB19-(Datos!V19+Datos!AJ19))/(Datos!V19+Datos!AJ19))," - ")</f>
        <v>0.15878084179970972</v>
      </c>
      <c r="F19" s="803">
        <f>IF(ISNUMBER((Datos!M19-Datos!W19)/Datos!W19),(Datos!M19-Datos!W19)/Datos!W19," - ")</f>
        <v>0.24806201550387597</v>
      </c>
      <c r="G19" s="804">
        <f>IF(ISNUMBER((Datos!N19-Datos!X19)/Datos!X19),(Datos!N19-Datos!X19)/Datos!X19," - ")</f>
        <v>-0.10140845070422536</v>
      </c>
      <c r="H19" s="805">
        <f>IF(ISNUMBER((Tasas!B19-Datos!BD19)/Datos!BD19),(Tasas!B19-Datos!BD19)/Datos!BD19," - ")</f>
        <v>-0.21095783446121821</v>
      </c>
      <c r="I19" s="806">
        <f>IF(ISNUMBER((Tasas!C19-Datos!BE19)/Datos!BE19),(Tasas!C19-Datos!BE19)/Datos!BE19," - ")</f>
        <v>0.17357378871630166</v>
      </c>
      <c r="J19" s="807">
        <f>IF(ISNUMBER((Tasas!D19-Datos!BF19)/Datos!BF19),(Tasas!D19-Datos!BF19)/Datos!BF19," - ")</f>
        <v>-0.19412527603491173</v>
      </c>
      <c r="K19" s="807">
        <f>IF(ISNUMBER((Tasas!E19-Datos!BG19)/Datos!BG19),(Tasas!E19-Datos!BG19)/Datos!BG19," - ")</f>
        <v>0.11222048550193001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c80tfsen5X3cEqCwTAnX8BAVaCuX9GMtBv4uPCu6UBMd/NnSq8AbZCBzBSumseNzHWCm+CGOw+UUmEIxzE1UA==" saltValue="XfBCMOCCz8hNDeESvNbey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CANARIAS</v>
      </c>
    </row>
    <row r="3" spans="1:7" ht="19.5">
      <c r="A3" s="436" t="s">
        <v>12</v>
      </c>
      <c r="B3" s="391" t="str">
        <f>Criterios!A10 &amp;"  "&amp;Criterios!B10</f>
        <v>Provincias  SANTA CRUZ DE TENERIFE</v>
      </c>
    </row>
    <row r="4" spans="1:7" ht="11.25" customHeight="1" thickBot="1">
      <c r="B4" s="391" t="str">
        <f>Criterios!A11 &amp;"  "&amp;Criterios!B11</f>
        <v>Resumenes por Partidos Judiciales  GÜIMAR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0.76734104046242779</v>
      </c>
      <c r="C12" s="443">
        <f>IF(ISNUMBER(NºAsuntos!I12/NºAsuntos!G12),NºAsuntos!I12/NºAsuntos!G12," - ")</f>
        <v>3.164783427495292</v>
      </c>
      <c r="D12" s="444">
        <f>IF(ISNUMBER('Resol  Asuntos'!D12/NºAsuntos!G12),'Resol  Asuntos'!D12/NºAsuntos!G12," - ")</f>
        <v>0.36252354048964219</v>
      </c>
      <c r="E12" s="445">
        <f>IF(ISNUMBER((NºAsuntos!C12+NºAsuntos!E12)/NºAsuntos!G12),(NºAsuntos!C12+NºAsuntos!E12)/NºAsuntos!G12," - ")</f>
        <v>4.1647834274952915</v>
      </c>
      <c r="G12" s="463"/>
    </row>
    <row r="13" spans="1:7" ht="14.25" thickTop="1" thickBot="1">
      <c r="A13" s="848" t="str">
        <f>Datos!A13</f>
        <v>TOTAL</v>
      </c>
      <c r="B13" s="858">
        <f>IF(ISNUMBER(NºAsuntos!G13/NºAsuntos!E13),NºAsuntos!G13/NºAsuntos!E13," - ")</f>
        <v>0.76806358381502893</v>
      </c>
      <c r="C13" s="859">
        <f>IF(ISNUMBER(NºAsuntos!I13/NºAsuntos!G13),NºAsuntos!I13/NºAsuntos!G13," - ")</f>
        <v>3.1618062088428975</v>
      </c>
      <c r="D13" s="860">
        <f>IF(ISNUMBER('Resol  Asuntos'!D13/NºAsuntos!G13),'Resol  Asuntos'!D13/NºAsuntos!G13," - ")</f>
        <v>0.36312323612417685</v>
      </c>
      <c r="E13" s="861">
        <f>IF(ISNUMBER((NºAsuntos!C13+NºAsuntos!E13)/NºAsuntos!G13),(NºAsuntos!C13+NºAsuntos!E13)/NºAsuntos!G13," - ")</f>
        <v>4.1618062088428971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0.92571428571428571</v>
      </c>
      <c r="C16" s="443">
        <f>IF(ISNUMBER(NºAsuntos!I16/NºAsuntos!G16),NºAsuntos!I16/NºAsuntos!G16," - ")</f>
        <v>0.77530864197530869</v>
      </c>
      <c r="D16" s="444">
        <f>IF(ISNUMBER('Resol  Asuntos'!D16/NºAsuntos!G16),'Resol  Asuntos'!D16/NºAsuntos!G16," - ")</f>
        <v>0.11975308641975309</v>
      </c>
      <c r="E16" s="445">
        <f>IF(ISNUMBER((NºAsuntos!C16+NºAsuntos!E16)/NºAsuntos!G16),(NºAsuntos!C16+NºAsuntos!E16)/NºAsuntos!G16," - ")</f>
        <v>1.7604938271604937</v>
      </c>
      <c r="G16" s="463"/>
    </row>
    <row r="17" spans="1:7" ht="13.5" thickBot="1">
      <c r="A17" s="402" t="str">
        <f>Datos!A17</f>
        <v>Jdos. Violencia contra la mujer</v>
      </c>
      <c r="B17" s="442">
        <f>IF(ISNUMBER(NºAsuntos!G17/NºAsuntos!E17),NºAsuntos!G17/NºAsuntos!E17," - ")</f>
        <v>7</v>
      </c>
      <c r="C17" s="443">
        <f>IF(ISNUMBER(NºAsuntos!I17/NºAsuntos!G17),NºAsuntos!I17/NºAsuntos!G17," - ")</f>
        <v>0.42857142857142855</v>
      </c>
      <c r="D17" s="444">
        <f>IF(ISNUMBER('Resol  Asuntos'!D17/NºAsuntos!G17),'Resol  Asuntos'!D17/NºAsuntos!G17," - ")</f>
        <v>0</v>
      </c>
      <c r="E17" s="445">
        <f>IF(ISNUMBER((NºAsuntos!C17+NºAsuntos!E17)/NºAsuntos!G17),(NºAsuntos!C17+NºAsuntos!E17)/NºAsuntos!G17," - ")</f>
        <v>1.4285714285714286</v>
      </c>
      <c r="G17" s="463"/>
    </row>
    <row r="18" spans="1:7" ht="14.25" thickTop="1" thickBot="1">
      <c r="A18" s="848" t="str">
        <f>Datos!A18</f>
        <v>TOTAL</v>
      </c>
      <c r="B18" s="858">
        <f>IF(ISNUMBER(NºAsuntos!G18/NºAsuntos!E18),NºAsuntos!G18/NºAsuntos!E18," - ")</f>
        <v>0.93264840182648401</v>
      </c>
      <c r="C18" s="859">
        <f>IF(ISNUMBER(NºAsuntos!I18/NºAsuntos!G18),NºAsuntos!I18/NºAsuntos!G18," - ")</f>
        <v>0.77233782129742967</v>
      </c>
      <c r="D18" s="862">
        <f>IF(ISNUMBER('Resol  Asuntos'!D18/NºAsuntos!G18),'Resol  Asuntos'!D18/NºAsuntos!G18," - ")</f>
        <v>0.11872705018359853</v>
      </c>
      <c r="E18" s="861">
        <f>IF(ISNUMBER((NºAsuntos!C18+NºAsuntos!E18)/NºAsuntos!G18),(NºAsuntos!C18+NºAsuntos!E18)/NºAsuntos!G18," - ")</f>
        <v>1.7576499388004896</v>
      </c>
      <c r="G18" s="463"/>
    </row>
    <row r="19" spans="1:7" ht="15.75" customHeight="1" thickTop="1" thickBot="1">
      <c r="A19" s="793" t="str">
        <f>Datos!A19</f>
        <v>TOTAL JURISDICCIONES</v>
      </c>
      <c r="B19" s="808">
        <f>IF(ISNUMBER(NºAsuntos!G19/NºAsuntos!E19),NºAsuntos!G19/NºAsuntos!E19," - ")</f>
        <v>0.83185840707964598</v>
      </c>
      <c r="C19" s="809">
        <f>IF(ISNUMBER(NºAsuntos!I19/NºAsuntos!G19),NºAsuntos!I19/NºAsuntos!G19," - ")</f>
        <v>2.1234042553191488</v>
      </c>
      <c r="D19" s="810">
        <f>IF(ISNUMBER('Resol  Asuntos'!D19/NºAsuntos!G19),'Resol  Asuntos'!D19/NºAsuntos!G19," - ")</f>
        <v>0.2569148936170213</v>
      </c>
      <c r="E19" s="811">
        <f>IF(ISNUMBER((NºAsuntos!C19+NºAsuntos!E19)/NºAsuntos!G19),(NºAsuntos!C19+NºAsuntos!E19)/NºAsuntos!G19," - ")</f>
        <v>3.1170212765957448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dSkg9KOLVFkfHPqUORsnN8dKMvVzkTaK6Xey8YQzF6R1cHRjgE9d4InoQ5ZIHZmwhuF8FtSzc3aZhOhBRG9ZA==" saltValue="iKEPY08PObiCQhgjDVrq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CANARIAS</v>
      </c>
      <c r="G2" s="263"/>
      <c r="H2" s="262"/>
      <c r="I2" s="262"/>
      <c r="J2" s="262"/>
      <c r="K2" s="262"/>
      <c r="L2" s="262" t="str">
        <f>Criterios!A10 &amp;"  "&amp;Criterios!B10</f>
        <v>Provincias  SANTA CRUZ DE TENERIFE</v>
      </c>
      <c r="N2" s="262" t="str">
        <f>Criterios!A11 &amp;"  "&amp;Criterios!B11</f>
        <v>Resumenes por Partidos Judiciales  GÜIMAR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100</v>
      </c>
      <c r="Y12" s="334">
        <f t="shared" si="0"/>
        <v>100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3820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385</v>
      </c>
      <c r="AJ12" s="229" t="str">
        <f>IF(ISNUMBER(Datos!BW12),Datos!BW12," - ")</f>
        <v xml:space="preserve"> - </v>
      </c>
      <c r="AK12" s="228" t="str">
        <f>IF(ISNUMBER(Datos!BX12),Datos!BX12," - ")</f>
        <v xml:space="preserve"> - </v>
      </c>
      <c r="AL12" s="243">
        <f>IF(ISNUMBER(NºAsuntos!G12/NºAsuntos!E12),NºAsuntos!G12/NºAsuntos!E12," - ")</f>
        <v>0.76734104046242779</v>
      </c>
      <c r="AM12" s="260">
        <f>IF(ISNUMBER(((NºAsuntos!I12/NºAsuntos!G12)*11)/factor_trimestre),((NºAsuntos!I12/NºAsuntos!G12)*11)/factor_trimestre," - ")</f>
        <v>9.4943502824858772</v>
      </c>
      <c r="AN12" s="244">
        <f>IF(ISNUMBER('Resol  Asuntos'!D12/NºAsuntos!G12),'Resol  Asuntos'!D12/NºAsuntos!G12," - ")</f>
        <v>0.36252354048964219</v>
      </c>
      <c r="AO12" s="245">
        <f>IF(ISNUMBER((NºAsuntos!C12+NºAsuntos!E12)/NºAsuntos!G12),(NºAsuntos!C12+NºAsuntos!E12)/NºAsuntos!G12," - ")</f>
        <v>4.1647834274952915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v>
      </c>
      <c r="G13" s="866">
        <f t="shared" si="3"/>
        <v>1</v>
      </c>
      <c r="H13" s="865">
        <f t="shared" si="3"/>
        <v>0</v>
      </c>
      <c r="I13" s="867">
        <f t="shared" si="3"/>
        <v>0</v>
      </c>
      <c r="J13" s="867">
        <f t="shared" si="3"/>
        <v>0</v>
      </c>
      <c r="K13" s="867">
        <f t="shared" si="3"/>
        <v>0</v>
      </c>
      <c r="L13" s="867">
        <f t="shared" si="3"/>
        <v>228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100</v>
      </c>
      <c r="Y13" s="868">
        <f t="shared" si="4"/>
        <v>101</v>
      </c>
      <c r="Z13" s="868">
        <f t="shared" si="4"/>
        <v>0</v>
      </c>
      <c r="AA13" s="868">
        <f t="shared" si="4"/>
        <v>0</v>
      </c>
      <c r="AB13" s="868">
        <f t="shared" si="4"/>
        <v>3820</v>
      </c>
      <c r="AC13" s="868">
        <f t="shared" si="4"/>
        <v>0</v>
      </c>
      <c r="AD13" s="868">
        <f t="shared" si="4"/>
        <v>0</v>
      </c>
      <c r="AE13" s="872">
        <f t="shared" si="4"/>
        <v>0</v>
      </c>
      <c r="AF13" s="865">
        <f t="shared" si="4"/>
        <v>0</v>
      </c>
      <c r="AG13" s="873">
        <f t="shared" si="4"/>
        <v>0</v>
      </c>
      <c r="AH13" s="870">
        <f t="shared" si="4"/>
        <v>0</v>
      </c>
      <c r="AI13" s="865">
        <f t="shared" si="4"/>
        <v>386</v>
      </c>
      <c r="AJ13" s="867">
        <f t="shared" si="4"/>
        <v>0</v>
      </c>
      <c r="AK13" s="870">
        <f>SUBTOTAL(9,AK9:AK12)</f>
        <v>0</v>
      </c>
      <c r="AL13" s="874">
        <f>IF(ISNUMBER(NºAsuntos!G13/NºAsuntos!E13),NºAsuntos!G13/NºAsuntos!E13," - ")</f>
        <v>0.76806358381502893</v>
      </c>
      <c r="AM13" s="874">
        <f>IF(ISNUMBER(((NºAsuntos!I13/NºAsuntos!G13)*11)/factor_trimestre),((NºAsuntos!I13/NºAsuntos!G13)*11)/factor_trimestre," - ")</f>
        <v>9.4854186265286931</v>
      </c>
      <c r="AN13" s="875">
        <f>IF(ISNUMBER('Resol  Asuntos'!D13/NºAsuntos!G13),'Resol  Asuntos'!D13/NºAsuntos!G13," - ")</f>
        <v>0.36312323612417685</v>
      </c>
      <c r="AO13" s="876">
        <f>IF(ISNUMBER((NºAsuntos!C13+NºAsuntos!E13)/NºAsuntos!G13),(NºAsuntos!C13+NºAsuntos!E13)/NºAsuntos!G13," - ")</f>
        <v>4.1618062088428971</v>
      </c>
      <c r="AP13" s="877" t="str">
        <f t="shared" si="2"/>
        <v xml:space="preserve"> - </v>
      </c>
      <c r="AQ13" s="877">
        <f>IF(ISNUMBER((H13-W13+K13)/(F13)),(H13-W13+K13)/(F13)," - ")</f>
        <v>-1</v>
      </c>
      <c r="AR13" s="878">
        <f>IF(ISNUMBER((Datos!P13-Datos!Q13)/(Datos!R13-Datos!P13+Datos!Q13)),(Datos!P13-Datos!Q13)/(Datos!R13-Datos!P13+Datos!Q13)," - ")</f>
        <v>3.4669555796316358E-2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563</v>
      </c>
      <c r="G16" s="333">
        <f>IF(ISNUMBER(IF(D_I="SI",Datos!I16,Datos!I16+Datos!AC16)),IF(D_I="SI",Datos!I16,Datos!I16+Datos!AC16)," - ")</f>
        <v>551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810</v>
      </c>
      <c r="X16" s="226">
        <f>IF(ISNUMBER(Datos!Q16),Datos!Q16," - ")</f>
        <v>17</v>
      </c>
      <c r="Y16" s="334">
        <f t="shared" ref="Y16:Y17" si="7">SUM(W16:X16)</f>
        <v>827</v>
      </c>
      <c r="Z16" s="335" t="str">
        <f>IF(ISNUMBER(Datos!CC16),Datos!CC16," - ")</f>
        <v xml:space="preserve"> - </v>
      </c>
      <c r="AA16" s="332">
        <f>IF(ISNUMBER(IF(D_I="SI",Datos!L16,Datos!L16+Datos!AF16)),IF(D_I="SI",Datos!L16,Datos!L16+Datos!AF16)," - ")</f>
        <v>628</v>
      </c>
      <c r="AB16" s="334">
        <f>IF(ISNUMBER(Datos!R16),Datos!R16," - ")</f>
        <v>169</v>
      </c>
      <c r="AC16" s="334">
        <f t="shared" si="6"/>
        <v>797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97</v>
      </c>
      <c r="AJ16" s="231" t="str">
        <f>IF(ISNUMBER(Datos!BW16),Datos!BW16," - ")</f>
        <v xml:space="preserve"> - </v>
      </c>
      <c r="AK16" s="232" t="str">
        <f>IF(ISNUMBER(Datos!BX16),Datos!BX16," - ")</f>
        <v xml:space="preserve"> - </v>
      </c>
      <c r="AL16" s="243">
        <f>IF(ISNUMBER(NºAsuntos!G16/NºAsuntos!E16),NºAsuntos!G16/NºAsuntos!E16," - ")</f>
        <v>0.92571428571428571</v>
      </c>
      <c r="AM16" s="260">
        <f>IF(ISNUMBER(((NºAsuntos!I16/NºAsuntos!G16)*11)/factor_trimestre),((NºAsuntos!I16/NºAsuntos!G16)*11)/factor_trimestre," - ")</f>
        <v>2.3259259259259264</v>
      </c>
      <c r="AN16" s="244">
        <f>IF(ISNUMBER('Resol  Asuntos'!D16/NºAsuntos!G16),'Resol  Asuntos'!D16/NºAsuntos!G16," - ")</f>
        <v>0.11975308641975309</v>
      </c>
      <c r="AO16" s="245">
        <f>IF(ISNUMBER((NºAsuntos!C16+NºAsuntos!E16)/NºAsuntos!G16),(NºAsuntos!C16+NºAsuntos!E16)/NºAsuntos!G16," - ")</f>
        <v>1.7604938271604937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v>
      </c>
      <c r="X17" s="226">
        <f>IF(ISNUMBER(Datos!Q17),Datos!Q17," - ")</f>
        <v>0</v>
      </c>
      <c r="Y17" s="334">
        <f t="shared" si="7"/>
        <v>7</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7</v>
      </c>
      <c r="AM17" s="260">
        <f>IF(ISNUMBER(((NºAsuntos!I17/NºAsuntos!G17)*11)/factor_trimestre),((NºAsuntos!I17/NºAsuntos!G17)*11)/factor_trimestre," - ")</f>
        <v>1.2857142857142858</v>
      </c>
      <c r="AN17" s="244">
        <f>IF(ISNUMBER('Resol  Asuntos'!D17/NºAsuntos!G17),'Resol  Asuntos'!D17/NºAsuntos!G17," - ")</f>
        <v>0</v>
      </c>
      <c r="AO17" s="245">
        <f>IF(ISNUMBER((NºAsuntos!C17+NºAsuntos!E17)/NºAsuntos!G17),(NºAsuntos!C17+NºAsuntos!E17)/NºAsuntos!G17," - ")</f>
        <v>1.4285714285714286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563</v>
      </c>
      <c r="G18" s="866">
        <f>SUBTOTAL(9,G15:G17)</f>
        <v>560</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817</v>
      </c>
      <c r="X18" s="867">
        <f t="shared" si="11"/>
        <v>17</v>
      </c>
      <c r="Y18" s="868">
        <f t="shared" si="11"/>
        <v>834</v>
      </c>
      <c r="Z18" s="868">
        <f t="shared" si="11"/>
        <v>0</v>
      </c>
      <c r="AA18" s="868">
        <f t="shared" si="11"/>
        <v>631</v>
      </c>
      <c r="AB18" s="868">
        <f t="shared" si="11"/>
        <v>169</v>
      </c>
      <c r="AC18" s="868">
        <f t="shared" si="11"/>
        <v>800</v>
      </c>
      <c r="AD18" s="868">
        <f t="shared" si="11"/>
        <v>0</v>
      </c>
      <c r="AE18" s="872">
        <f t="shared" si="11"/>
        <v>0</v>
      </c>
      <c r="AF18" s="865">
        <f t="shared" si="11"/>
        <v>0</v>
      </c>
      <c r="AG18" s="873">
        <f t="shared" si="11"/>
        <v>0</v>
      </c>
      <c r="AH18" s="870">
        <f t="shared" si="11"/>
        <v>0</v>
      </c>
      <c r="AI18" s="865">
        <f t="shared" si="11"/>
        <v>97</v>
      </c>
      <c r="AJ18" s="867">
        <f t="shared" si="11"/>
        <v>0</v>
      </c>
      <c r="AK18" s="870">
        <f t="shared" si="11"/>
        <v>0</v>
      </c>
      <c r="AL18" s="874">
        <f>IF(ISNUMBER(NºAsuntos!G18/NºAsuntos!E18),NºAsuntos!G18/NºAsuntos!E18," - ")</f>
        <v>0.93264840182648401</v>
      </c>
      <c r="AM18" s="874">
        <f>IF(ISNUMBER(((NºAsuntos!I18/NºAsuntos!G18)*11)/factor_trimestre),((NºAsuntos!I18/NºAsuntos!G18)*11)/factor_trimestre," - ")</f>
        <v>2.3170134638922892</v>
      </c>
      <c r="AN18" s="875">
        <f>IF(ISNUMBER('Resol  Asuntos'!D18/NºAsuntos!G18),'Resol  Asuntos'!D18/NºAsuntos!G18," - ")</f>
        <v>0.11872705018359853</v>
      </c>
      <c r="AO18" s="876">
        <f>IF(ISNUMBER((NºAsuntos!C18+NºAsuntos!E18)/NºAsuntos!G18),(NºAsuntos!C18+NºAsuntos!E18)/NºAsuntos!G18," - ")</f>
        <v>1.7576499388004896</v>
      </c>
      <c r="AP18" s="877" t="str">
        <f t="shared" si="2"/>
        <v xml:space="preserve"> - </v>
      </c>
      <c r="AQ18" s="877">
        <f>IF(ISNUMBER((H18-W18+K18)/(F18)),(H18-W18+K18)/(F18)," - ")</f>
        <v>-1.4511545293072825</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564</v>
      </c>
      <c r="G19" s="821">
        <f t="shared" si="13"/>
        <v>561</v>
      </c>
      <c r="H19" s="820">
        <f t="shared" si="13"/>
        <v>0</v>
      </c>
      <c r="I19" s="822">
        <f t="shared" si="13"/>
        <v>0</v>
      </c>
      <c r="J19" s="822">
        <f t="shared" si="13"/>
        <v>0</v>
      </c>
      <c r="K19" s="881">
        <f t="shared" si="13"/>
        <v>0</v>
      </c>
      <c r="L19" s="822">
        <f t="shared" si="13"/>
        <v>232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818</v>
      </c>
      <c r="X19" s="821">
        <f t="shared" si="14"/>
        <v>117</v>
      </c>
      <c r="Y19" s="828">
        <f t="shared" si="14"/>
        <v>935</v>
      </c>
      <c r="Z19" s="828">
        <f t="shared" si="14"/>
        <v>0</v>
      </c>
      <c r="AA19" s="828">
        <f t="shared" si="14"/>
        <v>631</v>
      </c>
      <c r="AB19" s="828">
        <f t="shared" si="14"/>
        <v>3989</v>
      </c>
      <c r="AC19" s="828">
        <f t="shared" si="14"/>
        <v>800</v>
      </c>
      <c r="AD19" s="828">
        <f t="shared" si="14"/>
        <v>0</v>
      </c>
      <c r="AE19" s="830">
        <f t="shared" si="14"/>
        <v>0</v>
      </c>
      <c r="AF19" s="831">
        <f t="shared" si="14"/>
        <v>0</v>
      </c>
      <c r="AG19" s="832">
        <f t="shared" si="14"/>
        <v>0</v>
      </c>
      <c r="AH19" s="830">
        <f t="shared" si="14"/>
        <v>0</v>
      </c>
      <c r="AI19" s="820">
        <f t="shared" si="14"/>
        <v>483</v>
      </c>
      <c r="AJ19" s="820">
        <f t="shared" si="14"/>
        <v>0</v>
      </c>
      <c r="AK19" s="830">
        <f t="shared" si="14"/>
        <v>0</v>
      </c>
      <c r="AL19" s="884">
        <f>IF(ISNUMBER(NºAsuntos!G19/NºAsuntos!E19),NºAsuntos!G19/NºAsuntos!E19," - ")</f>
        <v>0.83185840707964598</v>
      </c>
      <c r="AM19" s="885">
        <f>IF(ISNUMBER(((NºAsuntos!I19/NºAsuntos!G19)*11)/factor_trimestre),((NºAsuntos!I19/NºAsuntos!G19)*11)/factor_trimestre," - ")</f>
        <v>6.3702127659574472</v>
      </c>
      <c r="AN19" s="885">
        <f>IF(ISNUMBER('Resol  Asuntos'!D19/NºAsuntos!G19),'Resol  Asuntos'!D19/NºAsuntos!G19," - ")</f>
        <v>0.2569148936170213</v>
      </c>
      <c r="AO19" s="886">
        <f>IF(ISNUMBER((NºAsuntos!C19+NºAsuntos!E19)/NºAsuntos!G19),(NºAsuntos!C19+NºAsuntos!E19)/NºAsuntos!G19," - ")</f>
        <v>3.1170212765957448</v>
      </c>
      <c r="AP19" s="887" t="str">
        <f t="shared" si="2"/>
        <v xml:space="preserve"> - </v>
      </c>
      <c r="AQ19" s="888">
        <f>IF(OR(ISNUMBER(FIND("01",Criterios!A8,1)),ISNUMBER(FIND("02",Criterios!A8,1)),ISNUMBER(FIND("03",Criterios!A8,1)),ISNUMBER(FIND("04",Criterios!A8,1))),(I19-W19+K19)/(F19-K19),(H19-W19+K19)/(F19-K19))</f>
        <v>-1.4503546099290781</v>
      </c>
      <c r="AR19" s="889">
        <f>IF(ISNUMBER((Datos!P19-Datos!Q19)/(Datos!R19-Datos!P19+Datos!Q19)),(Datos!P19-Datos!Q19)/(Datos!R19-Datos!P19+Datos!Q19)," - ")</f>
        <v>2.9685080020650491E-2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324.47085128456968</v>
      </c>
      <c r="G21" s="253">
        <f>IF(ISNUMBER(STDEV(G8:G18)),STDEV(G8:G18),"-")</f>
        <v>302.28595733179537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443.94278910688485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179.17254253930761</v>
      </c>
      <c r="AJ21" s="252">
        <f t="shared" si="18"/>
        <v>0</v>
      </c>
      <c r="AK21" s="254">
        <f t="shared" si="18"/>
        <v>0</v>
      </c>
      <c r="AL21" s="249">
        <f t="shared" si="18"/>
        <v>2.7522460888754812</v>
      </c>
      <c r="AM21" s="250">
        <f t="shared" si="18"/>
        <v>4.2223803372319981</v>
      </c>
      <c r="AN21" s="250">
        <f t="shared" si="18"/>
        <v>0.36020909510194027</v>
      </c>
      <c r="AO21" s="251">
        <f t="shared" si="18"/>
        <v>1.4100355741216763</v>
      </c>
      <c r="AP21" s="291" t="str">
        <f t="shared" si="18"/>
        <v>-</v>
      </c>
      <c r="AQ21" s="292">
        <f t="shared" si="18"/>
        <v>0.31901442703620536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Yt4DgfhM+KoYtwM2VKTrwVMJbPCQgc5qoC/IZv+L8bImL0fildrjlJBLMtBKNBF/zIFc4HESCZctdvjmppqJvg==" saltValue="i2kh3X1nBf9FGIV/Y32yj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CANARIAS</v>
      </c>
      <c r="E2" s="263"/>
    </row>
    <row r="3" spans="2:20" ht="17.25" customHeight="1">
      <c r="C3" s="267"/>
      <c r="D3" s="262" t="str">
        <f>Criterios!A10 &amp;"  "&amp;Criterios!B10</f>
        <v>Provincias  SANTA CRUZ DE TENERIFE</v>
      </c>
      <c r="E3" s="263"/>
    </row>
    <row r="4" spans="2:20" ht="17.25" customHeight="1" thickBot="1">
      <c r="D4" s="262" t="str">
        <f>Criterios!A11 &amp;"  "&amp;Criterios!B11</f>
        <v>Resumenes por Partidos Judiciales  GÜIMAR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-0.83333333333333337</v>
      </c>
      <c r="E10" s="348">
        <f>IF(ISNUMBER((Datos!J10-Datos!T10)/Datos!T10),(Datos!J10-Datos!T10)/Datos!T10," - ")</f>
        <v>-1</v>
      </c>
      <c r="F10" s="348">
        <f>IF(ISNUMBER((Datos!K10-Datos!U10)/Datos!U10),(Datos!K10-Datos!U10)/Datos!U10," - ")</f>
        <v>-0.75</v>
      </c>
      <c r="G10" s="349">
        <f>IF(ISNUMBER((Datos!L10-Datos!V10)/Datos!V10),(Datos!L10-Datos!V10)/Datos!V10," - ")</f>
        <v>-1</v>
      </c>
      <c r="H10" s="230">
        <f>IF(ISNUMBER((Datos!M10-Datos!W10)/Datos!W10),(Datos!M10-Datos!W10)/Datos!W10," - ")</f>
        <v>-0.75</v>
      </c>
      <c r="I10" s="350">
        <f>IF(ISNUMBER((Tasas!C10-Datos!BE10)/Datos!BE10),(Tasas!C10-Datos!BE10)/Datos!BE10," - ")</f>
        <v>-1</v>
      </c>
      <c r="J10" s="349">
        <f>IF(ISNUMBER((Tasas!D10-Datos!BF10)/Datos!BF10),(Tasas!D10-Datos!BF10)/Datos!BF10," - ")</f>
        <v>0</v>
      </c>
      <c r="K10" s="351">
        <f>IF(ISNUMBER((Tasas!E10-Datos!BG10)/Datos!BG10),(Tasas!E10-Datos!BG10)/Datos!BG10," - ")</f>
        <v>-0.42857142857142855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0.47509578544061304</v>
      </c>
      <c r="I12" s="350">
        <f>IF(ISNUMBER((Tasas!C12-Datos!BE12)/Datos!BE12),(Tasas!C12-Datos!BE12)/Datos!BE12," - ")</f>
        <v>0.22396212672978874</v>
      </c>
      <c r="J12" s="349">
        <f>IF(ISNUMBER((Tasas!D12-Datos!BF12)/Datos!BF12),(Tasas!D12-Datos!BF12)/Datos!BF12," - ")</f>
        <v>-0.19958419958419957</v>
      </c>
      <c r="K12" s="351">
        <f>IF(ISNUMBER((Tasas!E12-Datos!BG12)/Datos!BG12),(Tasas!E12-Datos!BG12)/Datos!BG12," - ")</f>
        <v>0.16241787122207613</v>
      </c>
      <c r="M12" t="e">
        <f>IF(Monitorios="SI",Datos!CE12,0)</f>
        <v>#REF!</v>
      </c>
      <c r="N12" t="e">
        <f>IF(Monitorios="SI",Datos!CF12,0)</f>
        <v>#REF!</v>
      </c>
      <c r="O12" t="e">
        <f>IF(Monitorios="SI",Datos!CG12,0)</f>
        <v>#REF!</v>
      </c>
      <c r="P12" t="e">
        <f>IF(Monitorios="SI",Datos!CH12,0)</f>
        <v>#REF!</v>
      </c>
      <c r="Q12">
        <f>IF(J_V="SI",0,Datos!AG12)</f>
        <v>30</v>
      </c>
      <c r="R12">
        <f>IF(J_V="SI",0,Datos!AH12)</f>
        <v>39</v>
      </c>
      <c r="S12">
        <f>IF(J_V="SI",0,Datos!AI12)</f>
        <v>47</v>
      </c>
      <c r="T12">
        <f>IF(J_V="SI",0,Datos!AJ12)</f>
        <v>22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0.45660377358490567</v>
      </c>
      <c r="I13" s="357">
        <f>IF(ISNUMBER((Tasas!C13-Datos!BE13)/Datos!BE13),(Tasas!C13-Datos!BE13)/Datos!BE13," - ")</f>
        <v>0.22607690746690751</v>
      </c>
      <c r="J13" s="355">
        <f>IF(ISNUMBER((Tasas!D13-Datos!BF13)/Datos!BF13),(Tasas!D13-Datos!BF13)/Datos!BF13," - ")</f>
        <v>-0.20187758823015975</v>
      </c>
      <c r="K13" s="358">
        <f>IF(ISNUMBER((Tasas!E13-Datos!BG13)/Datos!BG13),(Tasas!E13-Datos!BG13)/Datos!BG13," - ")</f>
        <v>0.16382093877925716</v>
      </c>
      <c r="M13" t="e">
        <f>IF(Monitorios="SI",Datos!CE13,0)</f>
        <v>#REF!</v>
      </c>
      <c r="N13" t="e">
        <f>IF(Monitorios="SI",Datos!CF13,0)</f>
        <v>#REF!</v>
      </c>
      <c r="O13" t="e">
        <f>IF(Monitorios="SI",Datos!CG13,0)</f>
        <v>#REF!</v>
      </c>
      <c r="P13" t="e">
        <f>IF(Monitorios="SI",Datos!CH13,0)</f>
        <v>#REF!</v>
      </c>
      <c r="Q13">
        <f>IF(J_V="SI",0,Datos!AG13)</f>
        <v>30</v>
      </c>
      <c r="R13">
        <f>IF(J_V="SI",0,Datos!AH13)</f>
        <v>39</v>
      </c>
      <c r="S13">
        <f>IF(J_V="SI",0,Datos!AI13)</f>
        <v>47</v>
      </c>
      <c r="T13">
        <f>IF(J_V="SI",0,Datos!AJ13)</f>
        <v>22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-0.21173104434907011</v>
      </c>
      <c r="E16" s="348">
        <f>IF(ISNUMBER(
   IF(D_I="SI",(Datos!J16-Datos!T16)/Datos!T16,(Datos!J16+Datos!AD16-(Datos!T16+Datos!AL16))/(Datos!T16+Datos!AL16))
     ),IF(D_I="SI",(Datos!J16-Datos!T16)/Datos!T16,(Datos!J16+Datos!AD16-(Datos!T16+Datos!AL16))/(Datos!T16+Datos!AL16))," - ")</f>
        <v>8.5607940446650127E-2</v>
      </c>
      <c r="F16" s="348">
        <f>IF(ISNUMBER(
   IF(D_I="SI",(Datos!K16-Datos!U16)/Datos!U16,(Datos!K16+Datos!AE16-(Datos!U16+Datos!AM16))/(Datos!U16+Datos!AM16))
     ),IF(D_I="SI",(Datos!K16-Datos!U16)/Datos!U16,(Datos!K16+Datos!AE16-(Datos!U16+Datos!AM16))/(Datos!U16+Datos!AM16))," - ")</f>
        <v>-2.9940119760479042E-2</v>
      </c>
      <c r="G16" s="349">
        <f>IF(ISNUMBER(
   IF(D_I="SI",(Datos!L16-Datos!V16)/Datos!V16,(Datos!L16+Datos!AF16-(Datos!V16+Datos!AN16))/(Datos!V16+Datos!AN16))
     ),IF(D_I="SI",(Datos!L16-Datos!V16)/Datos!V16,(Datos!L16+Datos!AF16-(Datos!V16+Datos!AN16))/(Datos!V16+Datos!AN16))," - ")</f>
        <v>-7.511045655375552E-2</v>
      </c>
      <c r="H16" s="230">
        <f>IF(ISNUMBER((Datos!M16-Datos!W16)/Datos!W16),(Datos!M16-Datos!W16)/Datos!W16," - ")</f>
        <v>-0.19834710743801653</v>
      </c>
      <c r="I16" s="350">
        <f>IF(ISNUMBER((Tasas!C16-Datos!BE16)/Datos!BE16),(Tasas!C16-Datos!BE16)/Datos!BE16," - ")</f>
        <v>-4.6564482990599711E-2</v>
      </c>
      <c r="J16" s="349">
        <f>IF(ISNUMBER((Tasas!D16-Datos!BF16)/Datos!BF16),(Tasas!D16-Datos!BF16)/Datos!BF16," - ")</f>
        <v>-0.17360473421079481</v>
      </c>
      <c r="K16" s="351">
        <f>IF(ISNUMBER((Tasas!E16-Datos!BG16)/Datos!BG16),(Tasas!E16-Datos!BG16)/Datos!BG16," - ")</f>
        <v>-2.3247610844510175E-2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-0.47058823529411764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1.3333333333333333</v>
      </c>
      <c r="G17" s="349">
        <f>IF(ISNUMBER(
   IF(D_I="SI",(Datos!L17-Datos!V17)/Datos!V17,(Datos!L17+Datos!AF17-(Datos!V17+Datos!AN17))/(Datos!V17+Datos!AN17))
     ),IF(D_I="SI",(Datos!L17-Datos!V17)/Datos!V17,(Datos!L17+Datos!AF17-(Datos!V17+Datos!AN17))/(Datos!V17+Datos!AN17))," - ")</f>
        <v>-0.82352941176470584</v>
      </c>
      <c r="H17" s="230">
        <f>IF(ISNUMBER((Datos!M17-Datos!W17)/Datos!W17),(Datos!M17-Datos!W17)/Datos!W17," - ")</f>
        <v>-1</v>
      </c>
      <c r="I17" s="350">
        <f>IF(ISNUMBER((Tasas!C17-Datos!BE17)/Datos!BE17),(Tasas!C17-Datos!BE17)/Datos!BE17," - ")</f>
        <v>-0.9243697478991596</v>
      </c>
      <c r="J17" s="349">
        <f>IF(ISNUMBER((Tasas!D17-Datos!BF17)/Datos!BF17),(Tasas!D17-Datos!BF17)/Datos!BF17," - ")</f>
        <v>-1</v>
      </c>
      <c r="K17" s="351">
        <f>IF(ISNUMBER((Tasas!E17-Datos!BG17)/Datos!BG17),(Tasas!E17-Datos!BG17)/Datos!BG17," - ")</f>
        <v>-0.77443609022556381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-0.21787709497206703</v>
      </c>
      <c r="E18" s="354">
        <f>IF(ISNUMBER(
   IF(D_I="SI",(Datos!J18-Datos!T18)/Datos!T18,(Datos!J18+Datos!AD18-(Datos!T18+Datos!AL18))/(Datos!T18+Datos!AL18))
     ),IF(D_I="SI",(Datos!J18-Datos!T18)/Datos!T18,(Datos!J18+Datos!AD18-(Datos!T18+Datos!AL18))/(Datos!T18+Datos!AL18))," - ")</f>
        <v>8.4158415841584164E-2</v>
      </c>
      <c r="F18" s="354">
        <f>IF(ISNUMBER(
   IF(D_I="SI",(Datos!K18-Datos!U18)/Datos!U18,(Datos!K18+Datos!AE18-(Datos!U18+Datos!AM18))/(Datos!U18+Datos!AM18))
     ),IF(D_I="SI",(Datos!K18-Datos!U18)/Datos!U18,(Datos!K18+Datos!AE18-(Datos!U18+Datos!AM18))/(Datos!U18+Datos!AM18))," - ")</f>
        <v>-2.5059665871121718E-2</v>
      </c>
      <c r="G18" s="355">
        <f>IF(ISNUMBER(
   IF(D_I="SI",(Datos!L18-Datos!V18)/Datos!V18,(Datos!L18+Datos!AF18-(Datos!V18+Datos!AN18))/(Datos!V18+Datos!AN18))
     ),IF(D_I="SI",(Datos!L18-Datos!V18)/Datos!V18,(Datos!L18+Datos!AF18-(Datos!V18+Datos!AN18))/(Datos!V18+Datos!AN18))," - ")</f>
        <v>-9.3390804597701146E-2</v>
      </c>
      <c r="H18" s="356">
        <f>IF(ISNUMBER((Datos!M18-Datos!W18)/Datos!W18),(Datos!M18-Datos!W18)/Datos!W18," - ")</f>
        <v>-0.20491803278688525</v>
      </c>
      <c r="I18" s="357">
        <f>IF(ISNUMBER((Tasas!C18-Datos!BE18)/Datos!BE18),(Tasas!C18-Datos!BE18)/Datos!BE18," - ")</f>
        <v>-7.0087508265451098E-2</v>
      </c>
      <c r="J18" s="355">
        <f>IF(ISNUMBER((Tasas!D18-Datos!BF18)/Datos!BF18),(Tasas!D18-Datos!BF18)/Datos!BF18," - ")</f>
        <v>-0.18448140939462651</v>
      </c>
      <c r="K18" s="358">
        <f>IF(ISNUMBER((Tasas!E18-Datos!BG18)/Datos!BG18),(Tasas!E18-Datos!BG18)/Datos!BG18," - ")</f>
        <v>-3.3523196381358096E-2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1.9830028328611898E-2</v>
      </c>
      <c r="E19" s="363">
        <f>IF(ISNUMBER(
   IF(J_V="SI",(Datos!J19-Datos!T19)/Datos!T19,(Datos!J19+Datos!Z19-(Datos!T19+Datos!AH19))/(Datos!T19+Datos!AH19))
     ),IF(J_V="SI",(Datos!J19-Datos!T19)/Datos!T19,(Datos!J19+Datos!Z19-(Datos!T19+Datos!AH19))/(Datos!T19+Datos!AH19))," - ")</f>
        <v>0.25138427464008861</v>
      </c>
      <c r="F19" s="363">
        <f>IF(ISNUMBER(
   IF(J_V="SI",(Datos!K19-Datos!U19)/Datos!U19,(Datos!K19+Datos!AA19-(Datos!U19+Datos!AI19))/(Datos!U19+Datos!AI19))
     ),IF(J_V="SI",(Datos!K19-Datos!U19)/Datos!U19,(Datos!K19+Datos!AA19-(Datos!U19+Datos!AI19))/(Datos!U19+Datos!AI19))," - ")</f>
        <v>-1.2605042016806723E-2</v>
      </c>
      <c r="G19" s="364">
        <f>IF(ISNUMBER(
   IF(J_V="SI",(Datos!L19-Datos!V19)/Datos!V19,(Datos!L19+Datos!AB19-(Datos!V19+Datos!AJ19))/(Datos!V19+Datos!AJ19))
     ),IF(J_V="SI",(Datos!L19-Datos!V19)/Datos!V19,(Datos!L19+Datos!AB19-(Datos!V19+Datos!AJ19))/(Datos!V19+Datos!AJ19))," - ")</f>
        <v>0.15878084179970972</v>
      </c>
      <c r="H19" s="365">
        <f>IF(ISNUMBER((Datos!M19-Datos!W19)/Datos!W19),(Datos!M19-Datos!W19)/Datos!W19," - ")</f>
        <v>0.24806201550387597</v>
      </c>
      <c r="I19" s="362">
        <f>IF(ISNUMBER((Tasas!C19-Datos!BE19)/Datos!BE19),(Tasas!C19-Datos!BE19)/Datos!BE19," - ")</f>
        <v>0.17357378871630166</v>
      </c>
      <c r="J19" s="363">
        <f>IF(ISNUMBER((Tasas!D19-Datos!BF19)/Datos!BF19),(Tasas!D19-Datos!BF19)/Datos!BF19," - ")</f>
        <v>-0.19412527603491173</v>
      </c>
      <c r="K19" s="364">
        <f>IF(ISNUMBER((Tasas!E19-Datos!BG19)/Datos!BG19),(Tasas!E19-Datos!BG19)/Datos!BG19," - ")</f>
        <v>0.11222048550193001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0.29264135229048538</v>
      </c>
      <c r="E21" s="278">
        <f t="shared" si="1"/>
        <v>0.52345995444058302</v>
      </c>
      <c r="F21" s="278">
        <f t="shared" si="1"/>
        <v>0.8702524712204398</v>
      </c>
      <c r="G21" s="279">
        <f t="shared" si="1"/>
        <v>0.4832244353123909</v>
      </c>
      <c r="H21" s="285">
        <f t="shared" si="1"/>
        <v>0.6048689513810166</v>
      </c>
      <c r="I21" s="277">
        <f t="shared" si="1"/>
        <v>0.55514660197857812</v>
      </c>
      <c r="J21" s="278">
        <f t="shared" si="1"/>
        <v>0.35461498004041381</v>
      </c>
      <c r="K21" s="279">
        <f t="shared" si="1"/>
        <v>0.37230538814699521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QAkq4p4LWl6rwaD5K/JSG26yxgFHU76JO/iDvf++i93Us+7Hhco+Zt1KQcx5UpFkxZG+dU1S5UyD98CxxybFw==" saltValue="br0ruFSo01ZN0HEUw5cJC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